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 tabRatio="911" firstSheet="30" activeTab="33"/>
  </bookViews>
  <sheets>
    <sheet name="سلف العاملين بالمحل" sheetId="38" r:id="rId1"/>
    <sheet name="1" sheetId="1" r:id="rId2"/>
    <sheet name="2" sheetId="2" r:id="rId3"/>
    <sheet name="3" sheetId="3" r:id="rId4"/>
    <sheet name="4" sheetId="4" r:id="rId5"/>
    <sheet name="5" sheetId="5" r:id="rId6"/>
    <sheet name="6" sheetId="6" r:id="rId7"/>
    <sheet name="7" sheetId="7" r:id="rId8"/>
    <sheet name="8" sheetId="8" r:id="rId9"/>
    <sheet name="9" sheetId="9" r:id="rId10"/>
    <sheet name="10" sheetId="10" r:id="rId11"/>
    <sheet name="11" sheetId="12" r:id="rId12"/>
    <sheet name="12" sheetId="11" r:id="rId13"/>
    <sheet name="13" sheetId="13" r:id="rId14"/>
    <sheet name="14" sheetId="14" r:id="rId15"/>
    <sheet name="15" sheetId="15" r:id="rId16"/>
    <sheet name="16" sheetId="16" r:id="rId17"/>
    <sheet name="17" sheetId="17" r:id="rId18"/>
    <sheet name="18" sheetId="18" r:id="rId19"/>
    <sheet name="19" sheetId="19" r:id="rId20"/>
    <sheet name="20" sheetId="20" r:id="rId21"/>
    <sheet name="21" sheetId="21" r:id="rId22"/>
    <sheet name="22" sheetId="22" r:id="rId23"/>
    <sheet name="23" sheetId="23" r:id="rId24"/>
    <sheet name="24" sheetId="24" r:id="rId25"/>
    <sheet name="25" sheetId="25" r:id="rId26"/>
    <sheet name="26" sheetId="26" r:id="rId27"/>
    <sheet name="27" sheetId="27" r:id="rId28"/>
    <sheet name="28" sheetId="28" r:id="rId29"/>
    <sheet name="29" sheetId="29" r:id="rId30"/>
    <sheet name="30" sheetId="30" r:id="rId31"/>
    <sheet name="31" sheetId="31" r:id="rId32"/>
    <sheet name="الاجمالى" sheetId="32" r:id="rId33"/>
    <sheet name="مبيعات اجلة " sheetId="39" r:id="rId34"/>
    <sheet name="مبيعات الطواجن " sheetId="40" r:id="rId35"/>
    <sheet name="مشتريات " sheetId="33" r:id="rId36"/>
    <sheet name="مودرين " sheetId="34" r:id="rId37"/>
    <sheet name="طماطم" sheetId="36" r:id="rId38"/>
  </sheets>
  <definedNames>
    <definedName name="_xlnm._FilterDatabase" localSheetId="3" hidden="1">'3'!$A$3:$T$39</definedName>
    <definedName name="_xlnm._FilterDatabase" localSheetId="4" hidden="1">'4'!$A$3:$T$39</definedName>
    <definedName name="_xlnm._FilterDatabase" localSheetId="0" hidden="1">'سلف العاملين بالمحل'!$B$2:$F$15</definedName>
    <definedName name="_xlnm.Print_Area" localSheetId="7">'7'!$A$1:$Q$49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40" l="1"/>
  <c r="I36" i="40"/>
  <c r="C36" i="40"/>
  <c r="G34" i="39"/>
  <c r="D36" i="39"/>
  <c r="D8" i="31" l="1"/>
  <c r="F36" i="40" l="1"/>
  <c r="N35" i="40"/>
  <c r="K35" i="40"/>
  <c r="H35" i="40"/>
  <c r="E35" i="40"/>
  <c r="F33" i="39"/>
  <c r="D8" i="30"/>
  <c r="H32" i="39" l="1"/>
  <c r="F32" i="39"/>
  <c r="C32" i="39"/>
  <c r="B82" i="32"/>
  <c r="B81" i="32"/>
  <c r="B80" i="32"/>
  <c r="B79" i="32"/>
  <c r="B78" i="32"/>
  <c r="B77" i="32"/>
  <c r="B76" i="32"/>
  <c r="B75" i="32"/>
  <c r="B74" i="32"/>
  <c r="B73" i="32"/>
  <c r="B72" i="32"/>
  <c r="B71" i="32"/>
  <c r="B70" i="32"/>
  <c r="B69" i="32"/>
  <c r="B68" i="32"/>
  <c r="B67" i="32"/>
  <c r="B66" i="32"/>
  <c r="B65" i="32"/>
  <c r="B64" i="32"/>
  <c r="B63" i="32"/>
  <c r="B62" i="32"/>
  <c r="B61" i="32"/>
  <c r="B60" i="32"/>
  <c r="B59" i="32"/>
  <c r="B58" i="32"/>
  <c r="B57" i="32"/>
  <c r="B56" i="32"/>
  <c r="B55" i="32"/>
  <c r="D8" i="28" l="1"/>
  <c r="L5" i="27"/>
  <c r="D8" i="27"/>
  <c r="H29" i="39" l="1"/>
  <c r="G29" i="39"/>
  <c r="R8" i="26"/>
  <c r="T7" i="26"/>
  <c r="L6" i="26"/>
  <c r="D8" i="26"/>
  <c r="H28" i="39" l="1"/>
  <c r="G28" i="39"/>
  <c r="G7" i="25"/>
  <c r="P6" i="25"/>
  <c r="D8" i="25"/>
  <c r="M6" i="24" l="1"/>
  <c r="T8" i="24"/>
  <c r="L7" i="24"/>
  <c r="D8" i="24"/>
  <c r="D8" i="23" l="1"/>
  <c r="F25" i="39" l="1"/>
  <c r="I48" i="22"/>
  <c r="P7" i="22"/>
  <c r="L8" i="22"/>
  <c r="D8" i="22"/>
  <c r="L4" i="21" l="1"/>
  <c r="D8" i="21"/>
  <c r="D8" i="20"/>
  <c r="H23" i="39"/>
  <c r="P4" i="20"/>
  <c r="L6" i="20"/>
  <c r="P5" i="19" l="1"/>
  <c r="L6" i="19"/>
  <c r="D8" i="19"/>
  <c r="L22" i="40" l="1"/>
  <c r="F22" i="40"/>
  <c r="C22" i="40"/>
  <c r="L21" i="40"/>
  <c r="F21" i="40"/>
  <c r="C21" i="40"/>
  <c r="G21" i="39"/>
  <c r="L6" i="18"/>
  <c r="D8" i="18"/>
  <c r="D5" i="18"/>
  <c r="D4" i="18"/>
  <c r="J36" i="39" l="1"/>
  <c r="K36" i="39"/>
  <c r="L36" i="39"/>
  <c r="M36" i="39"/>
  <c r="N36" i="39"/>
  <c r="O36" i="39"/>
  <c r="P36" i="39"/>
  <c r="Q36" i="39"/>
  <c r="R36" i="39"/>
  <c r="S36" i="39"/>
  <c r="T36" i="39"/>
  <c r="U36" i="39"/>
  <c r="V36" i="39"/>
  <c r="F20" i="39"/>
  <c r="H20" i="39"/>
  <c r="L8" i="17" l="1"/>
  <c r="D8" i="17"/>
  <c r="D7" i="17"/>
  <c r="D5" i="17"/>
  <c r="D4" i="17"/>
  <c r="F17" i="40" l="1"/>
  <c r="I20" i="40" l="1"/>
  <c r="F20" i="40"/>
  <c r="C20" i="40"/>
  <c r="H19" i="39"/>
  <c r="G19" i="39"/>
  <c r="G10" i="16"/>
  <c r="L5" i="16"/>
  <c r="T4" i="16"/>
  <c r="D8" i="16"/>
  <c r="D5" i="16"/>
  <c r="D4" i="16"/>
  <c r="H18" i="39" l="1"/>
  <c r="G10" i="15"/>
  <c r="L6" i="15"/>
  <c r="P4" i="15"/>
  <c r="D8" i="15"/>
  <c r="D20" i="36" l="1"/>
  <c r="R11" i="40" l="1"/>
  <c r="C17" i="40"/>
  <c r="F16" i="39"/>
  <c r="F36" i="39" s="1"/>
  <c r="P6" i="14"/>
  <c r="L4" i="14"/>
  <c r="D8" i="14"/>
  <c r="L10" i="13"/>
  <c r="P7" i="13"/>
  <c r="D8" i="13"/>
  <c r="D5" i="13"/>
  <c r="D4" i="13"/>
  <c r="L6" i="11" l="1"/>
  <c r="P7" i="11"/>
  <c r="D8" i="11"/>
  <c r="I15" i="39"/>
  <c r="I36" i="39" s="1"/>
  <c r="H15" i="39"/>
  <c r="D8" i="9" l="1"/>
  <c r="W16" i="39"/>
  <c r="W17" i="39"/>
  <c r="W18" i="39"/>
  <c r="W19" i="39"/>
  <c r="W20" i="39"/>
  <c r="W21" i="39"/>
  <c r="W22" i="39"/>
  <c r="W23" i="39"/>
  <c r="W24" i="39"/>
  <c r="W25" i="39"/>
  <c r="W26" i="39"/>
  <c r="W27" i="39"/>
  <c r="W28" i="39"/>
  <c r="W29" i="39"/>
  <c r="W30" i="39"/>
  <c r="W31" i="39"/>
  <c r="W32" i="39"/>
  <c r="W33" i="39"/>
  <c r="W34" i="39"/>
  <c r="W13" i="39"/>
  <c r="W15" i="39"/>
  <c r="W6" i="39"/>
  <c r="C36" i="39"/>
  <c r="E14" i="39"/>
  <c r="W14" i="39" s="1"/>
  <c r="E12" i="39"/>
  <c r="W12" i="39" s="1"/>
  <c r="E11" i="39"/>
  <c r="W11" i="39" s="1"/>
  <c r="H10" i="39"/>
  <c r="W10" i="39" s="1"/>
  <c r="H9" i="39"/>
  <c r="E9" i="39"/>
  <c r="W9" i="39" s="1"/>
  <c r="E8" i="39"/>
  <c r="G7" i="39"/>
  <c r="H5" i="39"/>
  <c r="W7" i="39" l="1"/>
  <c r="G36" i="39"/>
  <c r="W5" i="39"/>
  <c r="H36" i="39"/>
  <c r="W8" i="39"/>
  <c r="W35" i="39" s="1"/>
  <c r="E36" i="39"/>
  <c r="W36" i="39" s="1"/>
  <c r="L5" i="12"/>
  <c r="D8" i="12"/>
  <c r="P5" i="10" l="1"/>
  <c r="L6" i="10"/>
  <c r="D8" i="10"/>
  <c r="E12" i="40" l="1"/>
  <c r="L8" i="9"/>
  <c r="D8" i="8"/>
  <c r="D8" i="7" l="1"/>
  <c r="L6" i="6" l="1"/>
  <c r="D8" i="6"/>
  <c r="L7" i="5" l="1"/>
  <c r="D8" i="5"/>
  <c r="G24" i="4" l="1"/>
  <c r="G17" i="4"/>
  <c r="P5" i="4"/>
  <c r="D8" i="4" l="1"/>
  <c r="D15" i="34" l="1"/>
  <c r="D14" i="34"/>
  <c r="D13" i="34"/>
  <c r="D12" i="34"/>
  <c r="D11" i="34"/>
  <c r="D10" i="34"/>
  <c r="D9" i="34"/>
  <c r="D8" i="3" l="1"/>
  <c r="D14" i="36" l="1"/>
  <c r="U6" i="40" l="1"/>
  <c r="U7" i="40"/>
  <c r="U8" i="40"/>
  <c r="U9" i="40"/>
  <c r="U10" i="40"/>
  <c r="U11" i="40"/>
  <c r="U12" i="40"/>
  <c r="U13" i="40"/>
  <c r="U14" i="40"/>
  <c r="U15" i="40"/>
  <c r="U16" i="40"/>
  <c r="U17" i="40"/>
  <c r="U18" i="40"/>
  <c r="U19" i="40"/>
  <c r="U20" i="40"/>
  <c r="U21" i="40"/>
  <c r="U22" i="40"/>
  <c r="U23" i="40"/>
  <c r="U24" i="40"/>
  <c r="U25" i="40"/>
  <c r="U26" i="40"/>
  <c r="U27" i="40"/>
  <c r="U28" i="40"/>
  <c r="U29" i="40"/>
  <c r="U30" i="40"/>
  <c r="U31" i="40"/>
  <c r="U32" i="40"/>
  <c r="U33" i="40"/>
  <c r="U34" i="40"/>
  <c r="R6" i="40"/>
  <c r="R7" i="40"/>
  <c r="R8" i="40"/>
  <c r="R9" i="40"/>
  <c r="R10" i="40"/>
  <c r="R12" i="40"/>
  <c r="R13" i="40"/>
  <c r="R14" i="40"/>
  <c r="R15" i="40"/>
  <c r="R16" i="40"/>
  <c r="R17" i="40"/>
  <c r="R18" i="40"/>
  <c r="R19" i="40"/>
  <c r="R20" i="40"/>
  <c r="R21" i="40"/>
  <c r="R22" i="40"/>
  <c r="R23" i="40"/>
  <c r="R24" i="40"/>
  <c r="R25" i="40"/>
  <c r="R26" i="40"/>
  <c r="R27" i="40"/>
  <c r="R28" i="40"/>
  <c r="R29" i="40"/>
  <c r="R30" i="40"/>
  <c r="R31" i="40"/>
  <c r="R32" i="40"/>
  <c r="R33" i="40"/>
  <c r="R34" i="40"/>
  <c r="R5" i="40"/>
  <c r="U36" i="40" l="1"/>
  <c r="R36" i="40"/>
  <c r="F42" i="40" s="1"/>
  <c r="D8" i="2"/>
  <c r="I42" i="40" l="1"/>
  <c r="F4" i="3"/>
  <c r="B40" i="40" l="1"/>
  <c r="F7" i="10" l="1"/>
  <c r="F41" i="40" l="1"/>
  <c r="F43" i="40" s="1"/>
  <c r="N6" i="40"/>
  <c r="N7" i="40"/>
  <c r="N8" i="40"/>
  <c r="N9" i="40"/>
  <c r="N10" i="40"/>
  <c r="N11" i="40"/>
  <c r="N12" i="40"/>
  <c r="N13" i="40"/>
  <c r="N14" i="40"/>
  <c r="N15" i="40"/>
  <c r="N16" i="40"/>
  <c r="N17" i="40"/>
  <c r="N18" i="40"/>
  <c r="N19" i="40"/>
  <c r="N20" i="40"/>
  <c r="N21" i="40"/>
  <c r="N22" i="40"/>
  <c r="N23" i="40"/>
  <c r="N24" i="40"/>
  <c r="N25" i="40"/>
  <c r="N26" i="40"/>
  <c r="N27" i="40"/>
  <c r="N28" i="40"/>
  <c r="N29" i="40"/>
  <c r="N30" i="40"/>
  <c r="N31" i="40"/>
  <c r="N32" i="40"/>
  <c r="N33" i="40"/>
  <c r="N34" i="40"/>
  <c r="N36" i="40" s="1"/>
  <c r="K6" i="40"/>
  <c r="K7" i="40"/>
  <c r="K8" i="40"/>
  <c r="K9" i="40"/>
  <c r="K10" i="40"/>
  <c r="K11" i="40"/>
  <c r="K12" i="40"/>
  <c r="K13" i="40"/>
  <c r="K14" i="40"/>
  <c r="K15" i="40"/>
  <c r="K16" i="40"/>
  <c r="K17" i="40"/>
  <c r="K18" i="40"/>
  <c r="K19" i="40"/>
  <c r="K20" i="40"/>
  <c r="K21" i="40"/>
  <c r="K22" i="40"/>
  <c r="K23" i="40"/>
  <c r="K24" i="40"/>
  <c r="K25" i="40"/>
  <c r="K26" i="40"/>
  <c r="K27" i="40"/>
  <c r="K28" i="40"/>
  <c r="K29" i="40"/>
  <c r="K30" i="40"/>
  <c r="K31" i="40"/>
  <c r="K32" i="40"/>
  <c r="K33" i="40"/>
  <c r="K34" i="40"/>
  <c r="K36" i="40" s="1"/>
  <c r="H6" i="40"/>
  <c r="H7" i="40"/>
  <c r="H8" i="40"/>
  <c r="H9" i="40"/>
  <c r="H10" i="40"/>
  <c r="H11" i="40"/>
  <c r="H12" i="40"/>
  <c r="H13" i="40"/>
  <c r="H14" i="40"/>
  <c r="H15" i="40"/>
  <c r="H16" i="40"/>
  <c r="H17" i="40"/>
  <c r="H18" i="40"/>
  <c r="H19" i="40"/>
  <c r="H20" i="40"/>
  <c r="H21" i="40"/>
  <c r="H22" i="40"/>
  <c r="H23" i="40"/>
  <c r="H24" i="40"/>
  <c r="H25" i="40"/>
  <c r="H26" i="40"/>
  <c r="H27" i="40"/>
  <c r="H28" i="40"/>
  <c r="H29" i="40"/>
  <c r="H30" i="40"/>
  <c r="H31" i="40"/>
  <c r="H32" i="40"/>
  <c r="H33" i="40"/>
  <c r="H34" i="40"/>
  <c r="H36" i="40" s="1"/>
  <c r="E6" i="40"/>
  <c r="E7" i="40"/>
  <c r="E8" i="40"/>
  <c r="E9" i="40"/>
  <c r="E10" i="40"/>
  <c r="E11" i="40"/>
  <c r="E13" i="40"/>
  <c r="E14" i="40"/>
  <c r="E15" i="40"/>
  <c r="E16" i="40"/>
  <c r="E17" i="40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6" i="40" s="1"/>
  <c r="N5" i="40"/>
  <c r="K5" i="40"/>
  <c r="H5" i="40"/>
  <c r="E5" i="40"/>
  <c r="I41" i="40" l="1"/>
  <c r="I43" i="40" s="1"/>
  <c r="B39" i="40"/>
  <c r="B41" i="40" s="1"/>
  <c r="F17" i="7"/>
  <c r="D39" i="2" l="1"/>
  <c r="G39" i="2" l="1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G39" i="4"/>
  <c r="H39" i="4"/>
  <c r="I39" i="4"/>
  <c r="J39" i="4"/>
  <c r="K39" i="4"/>
  <c r="L39" i="4"/>
  <c r="M39" i="4"/>
  <c r="N39" i="4"/>
  <c r="O39" i="4"/>
  <c r="P39" i="4"/>
  <c r="Q39" i="4"/>
  <c r="R39" i="4"/>
  <c r="S39" i="4"/>
  <c r="T39" i="4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G39" i="6"/>
  <c r="H39" i="6"/>
  <c r="I39" i="6"/>
  <c r="J39" i="6"/>
  <c r="K39" i="6"/>
  <c r="L39" i="6"/>
  <c r="M39" i="6"/>
  <c r="N39" i="6"/>
  <c r="O39" i="6"/>
  <c r="P39" i="6"/>
  <c r="Q39" i="6"/>
  <c r="R39" i="6"/>
  <c r="S39" i="6"/>
  <c r="T39" i="6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T39" i="9"/>
  <c r="G39" i="10"/>
  <c r="H39" i="10"/>
  <c r="I39" i="10"/>
  <c r="J39" i="10"/>
  <c r="K39" i="10"/>
  <c r="L39" i="10"/>
  <c r="M39" i="10"/>
  <c r="N39" i="10"/>
  <c r="O39" i="10"/>
  <c r="P39" i="10"/>
  <c r="Q39" i="10"/>
  <c r="R39" i="10"/>
  <c r="S39" i="10"/>
  <c r="T39" i="10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G39" i="11"/>
  <c r="H39" i="11"/>
  <c r="I39" i="11"/>
  <c r="J39" i="11"/>
  <c r="K39" i="11"/>
  <c r="L39" i="11"/>
  <c r="M39" i="11"/>
  <c r="N39" i="11"/>
  <c r="O39" i="11"/>
  <c r="P39" i="11"/>
  <c r="Q39" i="11"/>
  <c r="R39" i="11"/>
  <c r="S39" i="11"/>
  <c r="T39" i="11"/>
  <c r="G39" i="13"/>
  <c r="H39" i="13"/>
  <c r="I39" i="13"/>
  <c r="J39" i="13"/>
  <c r="K39" i="13"/>
  <c r="L39" i="13"/>
  <c r="M39" i="13"/>
  <c r="N39" i="13"/>
  <c r="O39" i="13"/>
  <c r="P39" i="13"/>
  <c r="Q39" i="13"/>
  <c r="R39" i="13"/>
  <c r="S39" i="13"/>
  <c r="T39" i="13"/>
  <c r="G39" i="14"/>
  <c r="H39" i="14"/>
  <c r="I39" i="14"/>
  <c r="J39" i="14"/>
  <c r="K39" i="14"/>
  <c r="L39" i="14"/>
  <c r="M39" i="14"/>
  <c r="N39" i="14"/>
  <c r="O39" i="14"/>
  <c r="P39" i="14"/>
  <c r="Q39" i="14"/>
  <c r="R39" i="14"/>
  <c r="S39" i="14"/>
  <c r="T39" i="14"/>
  <c r="G39" i="15"/>
  <c r="H39" i="15"/>
  <c r="I39" i="15"/>
  <c r="J39" i="15"/>
  <c r="K39" i="15"/>
  <c r="L39" i="15"/>
  <c r="M39" i="15"/>
  <c r="N39" i="15"/>
  <c r="O39" i="15"/>
  <c r="P39" i="15"/>
  <c r="Q39" i="15"/>
  <c r="R39" i="15"/>
  <c r="S39" i="15"/>
  <c r="T39" i="15"/>
  <c r="G39" i="16"/>
  <c r="H39" i="16"/>
  <c r="I39" i="16"/>
  <c r="J39" i="16"/>
  <c r="K39" i="16"/>
  <c r="L39" i="16"/>
  <c r="M39" i="16"/>
  <c r="N39" i="16"/>
  <c r="O39" i="16"/>
  <c r="P39" i="16"/>
  <c r="Q39" i="16"/>
  <c r="R39" i="16"/>
  <c r="S39" i="16"/>
  <c r="T39" i="16"/>
  <c r="G39" i="17"/>
  <c r="H39" i="17"/>
  <c r="I39" i="17"/>
  <c r="J39" i="17"/>
  <c r="K39" i="17"/>
  <c r="L39" i="17"/>
  <c r="M39" i="17"/>
  <c r="N39" i="17"/>
  <c r="O39" i="17"/>
  <c r="P39" i="17"/>
  <c r="Q39" i="17"/>
  <c r="R39" i="17"/>
  <c r="S39" i="17"/>
  <c r="T39" i="17"/>
  <c r="G39" i="18"/>
  <c r="H39" i="18"/>
  <c r="I39" i="18"/>
  <c r="J39" i="18"/>
  <c r="K39" i="18"/>
  <c r="L39" i="18"/>
  <c r="M39" i="18"/>
  <c r="N39" i="18"/>
  <c r="O39" i="18"/>
  <c r="P39" i="18"/>
  <c r="Q39" i="18"/>
  <c r="R39" i="18"/>
  <c r="S39" i="18"/>
  <c r="T39" i="18"/>
  <c r="G39" i="19"/>
  <c r="H39" i="19"/>
  <c r="I39" i="19"/>
  <c r="J39" i="19"/>
  <c r="K39" i="19"/>
  <c r="L39" i="19"/>
  <c r="M39" i="19"/>
  <c r="N39" i="19"/>
  <c r="O39" i="19"/>
  <c r="P39" i="19"/>
  <c r="Q39" i="19"/>
  <c r="R39" i="19"/>
  <c r="S39" i="19"/>
  <c r="T39" i="19"/>
  <c r="G39" i="20"/>
  <c r="H39" i="20"/>
  <c r="I39" i="20"/>
  <c r="J39" i="20"/>
  <c r="K39" i="20"/>
  <c r="L39" i="20"/>
  <c r="M39" i="20"/>
  <c r="N39" i="20"/>
  <c r="O39" i="20"/>
  <c r="P39" i="20"/>
  <c r="Q39" i="20"/>
  <c r="R39" i="20"/>
  <c r="S39" i="20"/>
  <c r="T39" i="20"/>
  <c r="G39" i="21"/>
  <c r="H39" i="21"/>
  <c r="I39" i="21"/>
  <c r="J39" i="21"/>
  <c r="K39" i="21"/>
  <c r="L39" i="21"/>
  <c r="M39" i="21"/>
  <c r="N39" i="21"/>
  <c r="O39" i="21"/>
  <c r="P39" i="21"/>
  <c r="Q39" i="21"/>
  <c r="R39" i="21"/>
  <c r="S39" i="21"/>
  <c r="T39" i="21"/>
  <c r="G39" i="22"/>
  <c r="H39" i="22"/>
  <c r="I39" i="22"/>
  <c r="J39" i="22"/>
  <c r="K39" i="22"/>
  <c r="L39" i="22"/>
  <c r="M39" i="22"/>
  <c r="N39" i="22"/>
  <c r="O39" i="22"/>
  <c r="P39" i="22"/>
  <c r="Q39" i="22"/>
  <c r="R39" i="22"/>
  <c r="S39" i="22"/>
  <c r="T39" i="22"/>
  <c r="G39" i="23"/>
  <c r="H39" i="23"/>
  <c r="I39" i="23"/>
  <c r="J39" i="23"/>
  <c r="K39" i="23"/>
  <c r="L39" i="23"/>
  <c r="M39" i="23"/>
  <c r="N39" i="23"/>
  <c r="O39" i="23"/>
  <c r="P39" i="23"/>
  <c r="Q39" i="23"/>
  <c r="R39" i="23"/>
  <c r="S39" i="23"/>
  <c r="T39" i="23"/>
  <c r="G39" i="24"/>
  <c r="H39" i="24"/>
  <c r="I39" i="24"/>
  <c r="J39" i="24"/>
  <c r="K39" i="24"/>
  <c r="L39" i="24"/>
  <c r="M39" i="24"/>
  <c r="N39" i="24"/>
  <c r="O39" i="24"/>
  <c r="P39" i="24"/>
  <c r="Q39" i="24"/>
  <c r="R39" i="24"/>
  <c r="S39" i="24"/>
  <c r="T39" i="24"/>
  <c r="G39" i="25"/>
  <c r="H39" i="25"/>
  <c r="I39" i="25"/>
  <c r="J39" i="25"/>
  <c r="K39" i="25"/>
  <c r="L39" i="25"/>
  <c r="M39" i="25"/>
  <c r="N39" i="25"/>
  <c r="O39" i="25"/>
  <c r="P39" i="25"/>
  <c r="Q39" i="25"/>
  <c r="R39" i="25"/>
  <c r="S39" i="25"/>
  <c r="T39" i="25"/>
  <c r="G39" i="26"/>
  <c r="H39" i="26"/>
  <c r="I39" i="26"/>
  <c r="J39" i="26"/>
  <c r="K39" i="26"/>
  <c r="L39" i="26"/>
  <c r="M39" i="26"/>
  <c r="N39" i="26"/>
  <c r="O39" i="26"/>
  <c r="P39" i="26"/>
  <c r="Q39" i="26"/>
  <c r="R39" i="26"/>
  <c r="S39" i="26"/>
  <c r="T39" i="26"/>
  <c r="G39" i="27"/>
  <c r="H39" i="27"/>
  <c r="I39" i="27"/>
  <c r="J39" i="27"/>
  <c r="K39" i="27"/>
  <c r="L39" i="27"/>
  <c r="M39" i="27"/>
  <c r="N39" i="27"/>
  <c r="O39" i="27"/>
  <c r="P39" i="27"/>
  <c r="Q39" i="27"/>
  <c r="R39" i="27"/>
  <c r="S39" i="27"/>
  <c r="T39" i="27"/>
  <c r="G39" i="28"/>
  <c r="H39" i="28"/>
  <c r="I39" i="28"/>
  <c r="J39" i="28"/>
  <c r="K39" i="28"/>
  <c r="L39" i="28"/>
  <c r="M39" i="28"/>
  <c r="N39" i="28"/>
  <c r="O39" i="28"/>
  <c r="P39" i="28"/>
  <c r="Q39" i="28"/>
  <c r="R39" i="28"/>
  <c r="S39" i="28"/>
  <c r="T39" i="28"/>
  <c r="G39" i="29"/>
  <c r="H39" i="29"/>
  <c r="I39" i="29"/>
  <c r="J39" i="29"/>
  <c r="K39" i="29"/>
  <c r="L39" i="29"/>
  <c r="M39" i="29"/>
  <c r="N39" i="29"/>
  <c r="O39" i="29"/>
  <c r="P39" i="29"/>
  <c r="Q39" i="29"/>
  <c r="R39" i="29"/>
  <c r="S39" i="29"/>
  <c r="T39" i="29"/>
  <c r="G39" i="30"/>
  <c r="H39" i="30"/>
  <c r="I39" i="30"/>
  <c r="J39" i="30"/>
  <c r="K39" i="30"/>
  <c r="L39" i="30"/>
  <c r="M39" i="30"/>
  <c r="N39" i="30"/>
  <c r="O39" i="30"/>
  <c r="P39" i="30"/>
  <c r="Q39" i="30"/>
  <c r="R39" i="30"/>
  <c r="S39" i="30"/>
  <c r="T39" i="30"/>
  <c r="G39" i="31"/>
  <c r="H39" i="31"/>
  <c r="I39" i="31"/>
  <c r="J39" i="31"/>
  <c r="K39" i="31"/>
  <c r="L39" i="31"/>
  <c r="M39" i="31"/>
  <c r="N39" i="31"/>
  <c r="O39" i="31"/>
  <c r="P39" i="31"/>
  <c r="Q39" i="31"/>
  <c r="R39" i="31"/>
  <c r="S39" i="31"/>
  <c r="T39" i="3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5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6" i="7"/>
  <c r="F7" i="7"/>
  <c r="F8" i="7"/>
  <c r="F9" i="7"/>
  <c r="F10" i="7"/>
  <c r="F11" i="7"/>
  <c r="F12" i="7"/>
  <c r="F13" i="7"/>
  <c r="F14" i="7"/>
  <c r="F15" i="7"/>
  <c r="F16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5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5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5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5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5" i="31"/>
  <c r="F7" i="31"/>
  <c r="F8" i="31"/>
  <c r="F9" i="31"/>
  <c r="F10" i="31"/>
  <c r="F11" i="31"/>
  <c r="F12" i="31"/>
  <c r="F13" i="31"/>
  <c r="F14" i="31"/>
  <c r="F15" i="31"/>
  <c r="F16" i="31"/>
  <c r="F17" i="31"/>
  <c r="F18" i="31"/>
  <c r="F19" i="31"/>
  <c r="F20" i="31"/>
  <c r="F21" i="31"/>
  <c r="F22" i="31"/>
  <c r="F23" i="31"/>
  <c r="F24" i="31"/>
  <c r="F25" i="31"/>
  <c r="F26" i="31"/>
  <c r="F27" i="31"/>
  <c r="F28" i="31"/>
  <c r="F29" i="31"/>
  <c r="F30" i="31"/>
  <c r="F31" i="31"/>
  <c r="F32" i="31"/>
  <c r="F33" i="31"/>
  <c r="F34" i="31"/>
  <c r="F35" i="31"/>
  <c r="F36" i="31"/>
  <c r="F37" i="31"/>
  <c r="F38" i="31"/>
  <c r="F4" i="11"/>
  <c r="F4" i="14"/>
  <c r="F4" i="2"/>
  <c r="F4" i="4"/>
  <c r="F4" i="5"/>
  <c r="F4" i="6"/>
  <c r="F4" i="7"/>
  <c r="F4" i="8"/>
  <c r="F4" i="9"/>
  <c r="F4" i="10"/>
  <c r="F4" i="12"/>
  <c r="F4" i="13"/>
  <c r="D39" i="1"/>
  <c r="D39" i="31"/>
  <c r="D39" i="30"/>
  <c r="D39" i="29"/>
  <c r="D39" i="28"/>
  <c r="D39" i="27"/>
  <c r="D39" i="26"/>
  <c r="D39" i="25"/>
  <c r="D39" i="24"/>
  <c r="D39" i="23"/>
  <c r="D39" i="22"/>
  <c r="D39" i="21"/>
  <c r="D39" i="20"/>
  <c r="D39" i="19"/>
  <c r="D39" i="18"/>
  <c r="D39" i="17"/>
  <c r="D39" i="16"/>
  <c r="D39" i="15"/>
  <c r="D39" i="14"/>
  <c r="D39" i="13"/>
  <c r="D39" i="11"/>
  <c r="D39" i="12"/>
  <c r="D39" i="10"/>
  <c r="D39" i="9"/>
  <c r="D39" i="8"/>
  <c r="D39" i="7"/>
  <c r="D39" i="6"/>
  <c r="D39" i="5"/>
  <c r="D39" i="4"/>
  <c r="D39" i="3"/>
  <c r="F39" i="6" l="1"/>
  <c r="F39" i="5"/>
  <c r="F39" i="3"/>
  <c r="F39" i="2"/>
  <c r="F6" i="31"/>
  <c r="F6" i="29"/>
  <c r="F6" i="27"/>
  <c r="F5" i="20"/>
  <c r="F5" i="24"/>
  <c r="F5" i="17"/>
  <c r="F5" i="16"/>
  <c r="F6" i="4"/>
  <c r="F39" i="4" s="1"/>
  <c r="C33" i="36"/>
  <c r="D33" i="36"/>
  <c r="B7" i="36"/>
  <c r="E33" i="36" l="1"/>
  <c r="C39" i="34"/>
  <c r="D39" i="34"/>
  <c r="B7" i="34"/>
  <c r="B6" i="33"/>
  <c r="E39" i="34" l="1"/>
  <c r="B43" i="2"/>
  <c r="B43" i="3"/>
  <c r="B43" i="4"/>
  <c r="B43" i="5"/>
  <c r="B43" i="6"/>
  <c r="B43" i="7"/>
  <c r="B43" i="8"/>
  <c r="B43" i="9"/>
  <c r="B43" i="10"/>
  <c r="B43" i="11"/>
  <c r="B43" i="12"/>
  <c r="B43" i="13"/>
  <c r="B43" i="14"/>
  <c r="B43" i="15"/>
  <c r="B43" i="16"/>
  <c r="B43" i="17"/>
  <c r="B43" i="18"/>
  <c r="B43" i="19"/>
  <c r="B43" i="20"/>
  <c r="B43" i="21"/>
  <c r="B43" i="22"/>
  <c r="B43" i="23"/>
  <c r="B43" i="24"/>
  <c r="B43" i="25"/>
  <c r="B43" i="26"/>
  <c r="B43" i="27"/>
  <c r="B43" i="28"/>
  <c r="B43" i="29"/>
  <c r="B43" i="30"/>
  <c r="B43" i="31"/>
  <c r="B43" i="1"/>
  <c r="B42" i="5"/>
  <c r="B42" i="6"/>
  <c r="B42" i="2"/>
  <c r="B42" i="3"/>
  <c r="B42" i="4"/>
  <c r="B42" i="8"/>
  <c r="B42" i="9"/>
  <c r="B42" i="10"/>
  <c r="B42" i="11"/>
  <c r="B42" i="12"/>
  <c r="B42" i="13"/>
  <c r="B42" i="14"/>
  <c r="B42" i="15"/>
  <c r="B42" i="16"/>
  <c r="B42" i="17"/>
  <c r="B42" i="18"/>
  <c r="B42" i="19"/>
  <c r="B42" i="20"/>
  <c r="B42" i="21"/>
  <c r="B42" i="22"/>
  <c r="B42" i="23"/>
  <c r="B42" i="24"/>
  <c r="B42" i="25"/>
  <c r="B42" i="26"/>
  <c r="B42" i="27"/>
  <c r="B42" i="28"/>
  <c r="B42" i="29"/>
  <c r="B42" i="30"/>
  <c r="B42" i="31"/>
  <c r="B42" i="1"/>
  <c r="F5" i="7" l="1"/>
  <c r="F39" i="7" s="1"/>
  <c r="F5" i="9"/>
  <c r="F39" i="9" s="1"/>
  <c r="B42" i="7"/>
  <c r="F5" i="8" l="1"/>
  <c r="F39" i="8" s="1"/>
  <c r="E2" i="2"/>
  <c r="E2" i="3"/>
  <c r="E2" i="4"/>
  <c r="E2" i="5"/>
  <c r="E2" i="6"/>
  <c r="E2" i="7"/>
  <c r="E2" i="8"/>
  <c r="E2" i="9"/>
  <c r="E2" i="10"/>
  <c r="E2" i="11"/>
  <c r="E2" i="12"/>
  <c r="E2" i="13"/>
  <c r="E2" i="14"/>
  <c r="E2" i="15"/>
  <c r="E2" i="16"/>
  <c r="E2" i="17"/>
  <c r="E2" i="18"/>
  <c r="E2" i="19"/>
  <c r="E2" i="20"/>
  <c r="E2" i="21"/>
  <c r="E2" i="22"/>
  <c r="E2" i="23"/>
  <c r="E2" i="24"/>
  <c r="E2" i="25"/>
  <c r="E2" i="26"/>
  <c r="E2" i="27"/>
  <c r="E2" i="28"/>
  <c r="E2" i="29"/>
  <c r="E2" i="30"/>
  <c r="E2" i="31"/>
  <c r="E2" i="32"/>
  <c r="E2" i="1"/>
  <c r="B44" i="8"/>
  <c r="B45" i="8" s="1"/>
  <c r="B44" i="6" l="1"/>
  <c r="B45" i="6" s="1"/>
  <c r="B44" i="4"/>
  <c r="B45" i="4" s="1"/>
  <c r="B44" i="2"/>
  <c r="B45" i="2" s="1"/>
  <c r="B44" i="9"/>
  <c r="B45" i="9" s="1"/>
  <c r="B44" i="5"/>
  <c r="B45" i="5" s="1"/>
  <c r="B44" i="3"/>
  <c r="B45" i="3" s="1"/>
  <c r="K48" i="32"/>
  <c r="K47" i="32"/>
  <c r="K46" i="32"/>
  <c r="K45" i="32"/>
  <c r="K44" i="32"/>
  <c r="K43" i="32"/>
  <c r="K42" i="32"/>
  <c r="K49" i="32" l="1"/>
  <c r="B41" i="32" s="1"/>
  <c r="G48" i="9" l="1"/>
  <c r="G47" i="9"/>
  <c r="G46" i="9"/>
  <c r="G45" i="9"/>
  <c r="G44" i="9"/>
  <c r="G43" i="9"/>
  <c r="G42" i="9"/>
  <c r="G48" i="10"/>
  <c r="G47" i="10"/>
  <c r="G46" i="10"/>
  <c r="G45" i="10"/>
  <c r="G44" i="10"/>
  <c r="G43" i="10"/>
  <c r="G42" i="10"/>
  <c r="G48" i="11"/>
  <c r="G47" i="11"/>
  <c r="G46" i="11"/>
  <c r="G45" i="11"/>
  <c r="G44" i="11"/>
  <c r="G43" i="11"/>
  <c r="G42" i="11"/>
  <c r="G48" i="12"/>
  <c r="G47" i="12"/>
  <c r="G46" i="12"/>
  <c r="G45" i="12"/>
  <c r="G44" i="12"/>
  <c r="G43" i="12"/>
  <c r="G42" i="12"/>
  <c r="G48" i="13"/>
  <c r="G47" i="13"/>
  <c r="G46" i="13"/>
  <c r="G45" i="13"/>
  <c r="G44" i="13"/>
  <c r="G43" i="13"/>
  <c r="G42" i="13"/>
  <c r="G48" i="14"/>
  <c r="G47" i="14"/>
  <c r="G46" i="14"/>
  <c r="G45" i="14"/>
  <c r="G44" i="14"/>
  <c r="G43" i="14"/>
  <c r="G42" i="14"/>
  <c r="G48" i="15"/>
  <c r="G47" i="15"/>
  <c r="G46" i="15"/>
  <c r="G45" i="15"/>
  <c r="G44" i="15"/>
  <c r="G43" i="15"/>
  <c r="G42" i="15"/>
  <c r="G48" i="16"/>
  <c r="G47" i="16"/>
  <c r="G46" i="16"/>
  <c r="G45" i="16"/>
  <c r="G44" i="16"/>
  <c r="G43" i="16"/>
  <c r="G42" i="16"/>
  <c r="G48" i="17"/>
  <c r="G47" i="17"/>
  <c r="G46" i="17"/>
  <c r="G45" i="17"/>
  <c r="G44" i="17"/>
  <c r="G43" i="17"/>
  <c r="G42" i="17"/>
  <c r="G48" i="18"/>
  <c r="G47" i="18"/>
  <c r="G46" i="18"/>
  <c r="G45" i="18"/>
  <c r="G44" i="18"/>
  <c r="G43" i="18"/>
  <c r="G42" i="18"/>
  <c r="G48" i="19"/>
  <c r="G47" i="19"/>
  <c r="G46" i="19"/>
  <c r="G45" i="19"/>
  <c r="G44" i="19"/>
  <c r="G43" i="19"/>
  <c r="G42" i="19"/>
  <c r="G48" i="20"/>
  <c r="G47" i="20"/>
  <c r="G46" i="20"/>
  <c r="G45" i="20"/>
  <c r="G44" i="20"/>
  <c r="G43" i="20"/>
  <c r="G42" i="20"/>
  <c r="G48" i="21"/>
  <c r="G47" i="21"/>
  <c r="G46" i="21"/>
  <c r="G45" i="21"/>
  <c r="G44" i="21"/>
  <c r="G43" i="21"/>
  <c r="G42" i="21"/>
  <c r="G48" i="22"/>
  <c r="G47" i="22"/>
  <c r="G46" i="22"/>
  <c r="G45" i="22"/>
  <c r="G44" i="22"/>
  <c r="G43" i="22"/>
  <c r="G42" i="22"/>
  <c r="G48" i="23"/>
  <c r="G47" i="23"/>
  <c r="G46" i="23"/>
  <c r="G45" i="23"/>
  <c r="G44" i="23"/>
  <c r="G43" i="23"/>
  <c r="G42" i="23"/>
  <c r="G48" i="24"/>
  <c r="G47" i="24"/>
  <c r="G46" i="24"/>
  <c r="G45" i="24"/>
  <c r="G44" i="24"/>
  <c r="G43" i="24"/>
  <c r="G42" i="24"/>
  <c r="G48" i="25"/>
  <c r="G47" i="25"/>
  <c r="G46" i="25"/>
  <c r="G45" i="25"/>
  <c r="G44" i="25"/>
  <c r="G43" i="25"/>
  <c r="G42" i="25"/>
  <c r="G48" i="26"/>
  <c r="G47" i="26"/>
  <c r="G46" i="26"/>
  <c r="G45" i="26"/>
  <c r="G44" i="26"/>
  <c r="G43" i="26"/>
  <c r="G42" i="26"/>
  <c r="G48" i="27"/>
  <c r="G47" i="27"/>
  <c r="G46" i="27"/>
  <c r="G45" i="27"/>
  <c r="G44" i="27"/>
  <c r="G43" i="27"/>
  <c r="G42" i="27"/>
  <c r="G48" i="28"/>
  <c r="G47" i="28"/>
  <c r="G46" i="28"/>
  <c r="G45" i="28"/>
  <c r="G44" i="28"/>
  <c r="G43" i="28"/>
  <c r="G42" i="28"/>
  <c r="G48" i="29"/>
  <c r="G47" i="29"/>
  <c r="G46" i="29"/>
  <c r="G45" i="29"/>
  <c r="G44" i="29"/>
  <c r="G43" i="29"/>
  <c r="G42" i="29"/>
  <c r="G48" i="30"/>
  <c r="G47" i="30"/>
  <c r="G46" i="30"/>
  <c r="G45" i="30"/>
  <c r="G44" i="30"/>
  <c r="G43" i="30"/>
  <c r="G42" i="30"/>
  <c r="G48" i="31"/>
  <c r="G47" i="31"/>
  <c r="G46" i="31"/>
  <c r="G45" i="31"/>
  <c r="G44" i="31"/>
  <c r="G43" i="31"/>
  <c r="G42" i="31"/>
  <c r="G48" i="8"/>
  <c r="G47" i="8"/>
  <c r="G46" i="8"/>
  <c r="G45" i="8"/>
  <c r="G44" i="8"/>
  <c r="G43" i="8"/>
  <c r="G42" i="8"/>
  <c r="F5" i="10" l="1"/>
  <c r="G49" i="23"/>
  <c r="B46" i="23" s="1"/>
  <c r="G49" i="17"/>
  <c r="B46" i="17" s="1"/>
  <c r="G49" i="9"/>
  <c r="G49" i="8"/>
  <c r="G49" i="18"/>
  <c r="B46" i="18" s="1"/>
  <c r="G49" i="14"/>
  <c r="G49" i="12"/>
  <c r="G49" i="31"/>
  <c r="B46" i="31" s="1"/>
  <c r="G49" i="30"/>
  <c r="G49" i="29"/>
  <c r="B46" i="29" s="1"/>
  <c r="G49" i="28"/>
  <c r="B46" i="28" s="1"/>
  <c r="G49" i="25"/>
  <c r="B46" i="25" s="1"/>
  <c r="G49" i="22"/>
  <c r="B46" i="22" s="1"/>
  <c r="G49" i="21"/>
  <c r="B46" i="21" s="1"/>
  <c r="G49" i="19"/>
  <c r="B46" i="19" s="1"/>
  <c r="G49" i="20"/>
  <c r="B46" i="20" s="1"/>
  <c r="G49" i="16"/>
  <c r="B46" i="16" s="1"/>
  <c r="G49" i="15"/>
  <c r="G49" i="13"/>
  <c r="G49" i="26"/>
  <c r="B46" i="26" s="1"/>
  <c r="G49" i="24"/>
  <c r="B46" i="24" s="1"/>
  <c r="B44" i="7"/>
  <c r="B45" i="7" s="1"/>
  <c r="G49" i="27"/>
  <c r="B46" i="27" s="1"/>
  <c r="G49" i="11"/>
  <c r="G49" i="10"/>
  <c r="B46" i="10" l="1"/>
  <c r="B46" i="12"/>
  <c r="B46" i="9"/>
  <c r="B48" i="9" s="1"/>
  <c r="B46" i="11"/>
  <c r="B46" i="15"/>
  <c r="B46" i="14"/>
  <c r="B46" i="8"/>
  <c r="B48" i="8" s="1"/>
  <c r="B46" i="13"/>
  <c r="F4" i="17"/>
  <c r="F39" i="17" s="1"/>
  <c r="B44" i="17" s="1"/>
  <c r="B45" i="17" s="1"/>
  <c r="B48" i="17" s="1"/>
  <c r="F4" i="21"/>
  <c r="F4" i="25"/>
  <c r="F4" i="29"/>
  <c r="F39" i="29" s="1"/>
  <c r="B44" i="29" s="1"/>
  <c r="B45" i="29" s="1"/>
  <c r="B49" i="29" s="1"/>
  <c r="F4" i="15"/>
  <c r="F4" i="19"/>
  <c r="F4" i="23"/>
  <c r="F39" i="23" s="1"/>
  <c r="B44" i="23" s="1"/>
  <c r="B45" i="23" s="1"/>
  <c r="B49" i="23" s="1"/>
  <c r="F4" i="27"/>
  <c r="F39" i="27" s="1"/>
  <c r="B44" i="27" s="1"/>
  <c r="B45" i="27" s="1"/>
  <c r="F4" i="31"/>
  <c r="F39" i="31" s="1"/>
  <c r="B44" i="31" s="1"/>
  <c r="B45" i="31" s="1"/>
  <c r="B48" i="31" s="1"/>
  <c r="B46" i="30"/>
  <c r="B49" i="9"/>
  <c r="G42" i="3"/>
  <c r="G43" i="3"/>
  <c r="G44" i="3"/>
  <c r="G45" i="3"/>
  <c r="G46" i="3"/>
  <c r="G47" i="3"/>
  <c r="G48" i="3"/>
  <c r="B47" i="8" l="1"/>
  <c r="B49" i="8"/>
  <c r="B47" i="9"/>
  <c r="B49" i="27"/>
  <c r="B47" i="27"/>
  <c r="B49" i="31"/>
  <c r="B47" i="23"/>
  <c r="B48" i="29"/>
  <c r="B47" i="29"/>
  <c r="B49" i="17"/>
  <c r="B48" i="27"/>
  <c r="F5" i="13"/>
  <c r="F6" i="10"/>
  <c r="F5" i="11"/>
  <c r="F39" i="11" s="1"/>
  <c r="B44" i="11" s="1"/>
  <c r="B45" i="11" s="1"/>
  <c r="F4" i="24"/>
  <c r="F39" i="24" s="1"/>
  <c r="B44" i="24" s="1"/>
  <c r="B45" i="24" s="1"/>
  <c r="F4" i="20"/>
  <c r="F39" i="20" s="1"/>
  <c r="B44" i="20" s="1"/>
  <c r="B45" i="20" s="1"/>
  <c r="F4" i="16"/>
  <c r="F39" i="16" s="1"/>
  <c r="B44" i="16" s="1"/>
  <c r="B45" i="16" s="1"/>
  <c r="F4" i="26"/>
  <c r="F4" i="22"/>
  <c r="F4" i="18"/>
  <c r="F39" i="18" s="1"/>
  <c r="B44" i="18" s="1"/>
  <c r="B45" i="18" s="1"/>
  <c r="B48" i="23"/>
  <c r="B47" i="31"/>
  <c r="B47" i="17"/>
  <c r="G49" i="3"/>
  <c r="G48" i="4"/>
  <c r="G47" i="4"/>
  <c r="G46" i="4"/>
  <c r="G45" i="4"/>
  <c r="G44" i="4"/>
  <c r="G43" i="4"/>
  <c r="G42" i="4"/>
  <c r="G48" i="5"/>
  <c r="G47" i="5"/>
  <c r="G46" i="5"/>
  <c r="G45" i="5"/>
  <c r="G44" i="5"/>
  <c r="G43" i="5"/>
  <c r="G42" i="5"/>
  <c r="G48" i="6"/>
  <c r="G47" i="6"/>
  <c r="G46" i="6"/>
  <c r="G45" i="6"/>
  <c r="G44" i="6"/>
  <c r="G43" i="6"/>
  <c r="G42" i="6"/>
  <c r="G48" i="7"/>
  <c r="G47" i="7"/>
  <c r="G46" i="7"/>
  <c r="G45" i="7"/>
  <c r="G44" i="7"/>
  <c r="G43" i="7"/>
  <c r="G42" i="7"/>
  <c r="G48" i="2"/>
  <c r="G47" i="2"/>
  <c r="G46" i="2"/>
  <c r="G45" i="2"/>
  <c r="G44" i="2"/>
  <c r="G43" i="2"/>
  <c r="G42" i="2"/>
  <c r="G43" i="1"/>
  <c r="G44" i="1"/>
  <c r="G45" i="1"/>
  <c r="G46" i="1"/>
  <c r="G47" i="1"/>
  <c r="G48" i="1"/>
  <c r="G42" i="1"/>
  <c r="B46" i="3" l="1"/>
  <c r="B48" i="3" s="1"/>
  <c r="F6" i="15"/>
  <c r="F39" i="15" s="1"/>
  <c r="B44" i="15" s="1"/>
  <c r="B45" i="15" s="1"/>
  <c r="F5" i="14"/>
  <c r="F39" i="14" s="1"/>
  <c r="B44" i="14" s="1"/>
  <c r="B45" i="14" s="1"/>
  <c r="F6" i="19"/>
  <c r="F39" i="19" s="1"/>
  <c r="B44" i="19" s="1"/>
  <c r="B45" i="19" s="1"/>
  <c r="F5" i="12"/>
  <c r="F39" i="12" s="1"/>
  <c r="B44" i="12" s="1"/>
  <c r="B45" i="12" s="1"/>
  <c r="B48" i="11"/>
  <c r="B49" i="11"/>
  <c r="B47" i="11"/>
  <c r="F4" i="30"/>
  <c r="F39" i="30" s="1"/>
  <c r="B44" i="30" s="1"/>
  <c r="B45" i="30" s="1"/>
  <c r="F4" i="28"/>
  <c r="F39" i="28" s="1"/>
  <c r="B44" i="28" s="1"/>
  <c r="B45" i="28" s="1"/>
  <c r="B48" i="18"/>
  <c r="B47" i="18"/>
  <c r="B49" i="18"/>
  <c r="B47" i="16"/>
  <c r="B48" i="16"/>
  <c r="B49" i="16"/>
  <c r="B49" i="20"/>
  <c r="B48" i="20"/>
  <c r="B47" i="20"/>
  <c r="B48" i="24"/>
  <c r="B49" i="24"/>
  <c r="B47" i="24"/>
  <c r="G49" i="6"/>
  <c r="G49" i="4"/>
  <c r="G49" i="2"/>
  <c r="G49" i="1"/>
  <c r="G49" i="7"/>
  <c r="G49" i="5"/>
  <c r="B46" i="5" l="1"/>
  <c r="B48" i="5" s="1"/>
  <c r="B46" i="1"/>
  <c r="D55" i="32"/>
  <c r="B46" i="7"/>
  <c r="B48" i="7" s="1"/>
  <c r="B46" i="2"/>
  <c r="B48" i="2" s="1"/>
  <c r="B46" i="6"/>
  <c r="B48" i="6" s="1"/>
  <c r="B46" i="4"/>
  <c r="B48" i="4" s="1"/>
  <c r="F34" i="1"/>
  <c r="F26" i="1"/>
  <c r="F22" i="1"/>
  <c r="F18" i="1"/>
  <c r="F14" i="1"/>
  <c r="F10" i="1"/>
  <c r="F6" i="1"/>
  <c r="B48" i="12"/>
  <c r="B49" i="12"/>
  <c r="B47" i="12"/>
  <c r="F6" i="13"/>
  <c r="F39" i="13" s="1"/>
  <c r="B44" i="13" s="1"/>
  <c r="B45" i="13" s="1"/>
  <c r="F32" i="1"/>
  <c r="F30" i="1"/>
  <c r="F24" i="1"/>
  <c r="F16" i="1"/>
  <c r="F8" i="1"/>
  <c r="F5" i="22"/>
  <c r="F39" i="22" s="1"/>
  <c r="B44" i="22" s="1"/>
  <c r="B45" i="22" s="1"/>
  <c r="F26" i="10"/>
  <c r="F39" i="10" s="1"/>
  <c r="B44" i="10" s="1"/>
  <c r="B45" i="10" s="1"/>
  <c r="F38" i="1"/>
  <c r="F36" i="1"/>
  <c r="F28" i="1"/>
  <c r="F20" i="1"/>
  <c r="F12" i="1"/>
  <c r="F5" i="26"/>
  <c r="F39" i="26" s="1"/>
  <c r="B44" i="26" s="1"/>
  <c r="B45" i="26" s="1"/>
  <c r="B48" i="19"/>
  <c r="B47" i="19"/>
  <c r="B49" i="19"/>
  <c r="B49" i="14"/>
  <c r="B47" i="14"/>
  <c r="B48" i="14"/>
  <c r="B48" i="15"/>
  <c r="B49" i="15"/>
  <c r="B47" i="15"/>
  <c r="B49" i="28"/>
  <c r="B48" i="28"/>
  <c r="B47" i="28"/>
  <c r="B47" i="30"/>
  <c r="B48" i="30"/>
  <c r="B49" i="30"/>
  <c r="B47" i="5"/>
  <c r="B47" i="3"/>
  <c r="B49" i="3"/>
  <c r="B49" i="4"/>
  <c r="B47" i="2"/>
  <c r="B49" i="7" l="1"/>
  <c r="B47" i="7"/>
  <c r="B49" i="5"/>
  <c r="B47" i="4"/>
  <c r="B49" i="2"/>
  <c r="D56" i="32"/>
  <c r="D57" i="32" s="1"/>
  <c r="D58" i="32" s="1"/>
  <c r="D59" i="32" s="1"/>
  <c r="D60" i="32" s="1"/>
  <c r="D61" i="32" s="1"/>
  <c r="D62" i="32" s="1"/>
  <c r="D63" i="32" s="1"/>
  <c r="D64" i="32" s="1"/>
  <c r="D65" i="32" s="1"/>
  <c r="D66" i="32" s="1"/>
  <c r="D67" i="32" s="1"/>
  <c r="D68" i="32" s="1"/>
  <c r="D69" i="32" s="1"/>
  <c r="D70" i="32" s="1"/>
  <c r="D71" i="32" s="1"/>
  <c r="D72" i="32" s="1"/>
  <c r="D73" i="32" s="1"/>
  <c r="D74" i="32" s="1"/>
  <c r="D75" i="32" s="1"/>
  <c r="D76" i="32" s="1"/>
  <c r="D77" i="32" s="1"/>
  <c r="D78" i="32" s="1"/>
  <c r="D79" i="32" s="1"/>
  <c r="D80" i="32" s="1"/>
  <c r="D81" i="32" s="1"/>
  <c r="D82" i="32" s="1"/>
  <c r="D83" i="32" s="1"/>
  <c r="D84" i="32" s="1"/>
  <c r="D85" i="32" s="1"/>
  <c r="D86" i="32" s="1"/>
  <c r="B49" i="26"/>
  <c r="B48" i="26"/>
  <c r="B47" i="26"/>
  <c r="B48" i="10"/>
  <c r="B49" i="10"/>
  <c r="B47" i="10"/>
  <c r="B49" i="22"/>
  <c r="B47" i="22"/>
  <c r="B48" i="22"/>
  <c r="B49" i="13"/>
  <c r="B48" i="13"/>
  <c r="B47" i="13"/>
  <c r="F25" i="1"/>
  <c r="F5" i="1"/>
  <c r="F9" i="1"/>
  <c r="F13" i="1"/>
  <c r="F17" i="1"/>
  <c r="F21" i="1"/>
  <c r="F11" i="1"/>
  <c r="F15" i="1"/>
  <c r="F19" i="1"/>
  <c r="F23" i="1"/>
  <c r="F27" i="1"/>
  <c r="F29" i="1"/>
  <c r="F31" i="1"/>
  <c r="F35" i="1"/>
  <c r="F37" i="1"/>
  <c r="F5" i="25"/>
  <c r="F39" i="25" s="1"/>
  <c r="B44" i="25" s="1"/>
  <c r="B45" i="25" s="1"/>
  <c r="F5" i="21"/>
  <c r="F39" i="21" s="1"/>
  <c r="B44" i="21" s="1"/>
  <c r="B45" i="21" s="1"/>
  <c r="F7" i="1"/>
  <c r="F33" i="1"/>
  <c r="F4" i="1"/>
  <c r="B49" i="6"/>
  <c r="B47" i="6"/>
  <c r="F39" i="1" l="1"/>
  <c r="B44" i="1" s="1"/>
  <c r="B45" i="1" s="1"/>
  <c r="B47" i="1" s="1"/>
  <c r="B48" i="21"/>
  <c r="B47" i="21"/>
  <c r="B49" i="21"/>
  <c r="B49" i="25"/>
  <c r="B47" i="25"/>
  <c r="B48" i="25"/>
  <c r="B48" i="1"/>
  <c r="B49" i="1" l="1"/>
  <c r="F43" i="32" l="1"/>
  <c r="G43" i="32" s="1"/>
  <c r="F47" i="32"/>
  <c r="G47" i="32" s="1"/>
  <c r="F46" i="32"/>
  <c r="G46" i="32" s="1"/>
  <c r="D8" i="32"/>
  <c r="B43" i="32" s="1"/>
  <c r="S4" i="32"/>
  <c r="S39" i="32" s="1"/>
  <c r="Q4" i="32"/>
  <c r="Q39" i="32" s="1"/>
  <c r="O4" i="32"/>
  <c r="M4" i="32"/>
  <c r="K4" i="32"/>
  <c r="K39" i="32" s="1"/>
  <c r="I4" i="32"/>
  <c r="I39" i="32" s="1"/>
  <c r="G4" i="32"/>
  <c r="F45" i="32"/>
  <c r="G45" i="32" s="1"/>
  <c r="F44" i="32"/>
  <c r="G44" i="32" s="1"/>
  <c r="F48" i="32"/>
  <c r="G48" i="32" s="1"/>
  <c r="T4" i="32"/>
  <c r="R4" i="32"/>
  <c r="P4" i="32"/>
  <c r="N4" i="32"/>
  <c r="L4" i="32"/>
  <c r="J4" i="32"/>
  <c r="J39" i="32" s="1"/>
  <c r="H4" i="32"/>
  <c r="F26" i="32"/>
  <c r="S20" i="32"/>
  <c r="R8" i="32"/>
  <c r="M21" i="32"/>
  <c r="F27" i="32"/>
  <c r="S32" i="32"/>
  <c r="H11" i="32"/>
  <c r="M19" i="32"/>
  <c r="S15" i="32"/>
  <c r="M33" i="32"/>
  <c r="D9" i="32"/>
  <c r="L18" i="32"/>
  <c r="K30" i="32"/>
  <c r="G33" i="32"/>
  <c r="R7" i="32"/>
  <c r="S12" i="32"/>
  <c r="O9" i="32"/>
  <c r="T7" i="32"/>
  <c r="L10" i="32"/>
  <c r="L8" i="32"/>
  <c r="L36" i="32"/>
  <c r="L26" i="32"/>
  <c r="L25" i="32"/>
  <c r="F35" i="32"/>
  <c r="P28" i="32"/>
  <c r="P24" i="32"/>
  <c r="Q22" i="32"/>
  <c r="L27" i="32"/>
  <c r="J21" i="32"/>
  <c r="S30" i="32"/>
  <c r="L35" i="32"/>
  <c r="L28" i="32"/>
  <c r="H6" i="32"/>
  <c r="I38" i="32"/>
  <c r="Q26" i="32"/>
  <c r="P35" i="32"/>
  <c r="P23" i="32"/>
  <c r="F4" i="32"/>
  <c r="K5" i="32"/>
  <c r="P31" i="32"/>
  <c r="R30" i="32"/>
  <c r="R10" i="32"/>
  <c r="O6" i="32"/>
  <c r="H8" i="32"/>
  <c r="O17" i="32"/>
  <c r="S33" i="32"/>
  <c r="P12" i="32"/>
  <c r="O33" i="32"/>
  <c r="H30" i="32"/>
  <c r="T27" i="32"/>
  <c r="Q20" i="32"/>
  <c r="H16" i="32"/>
  <c r="N14" i="32"/>
  <c r="I17" i="32"/>
  <c r="F15" i="32"/>
  <c r="P34" i="32"/>
  <c r="N18" i="32"/>
  <c r="L20" i="32"/>
  <c r="H25" i="32"/>
  <c r="M23" i="32"/>
  <c r="J17" i="32"/>
  <c r="G25" i="32"/>
  <c r="O14" i="32"/>
  <c r="O20" i="32"/>
  <c r="R14" i="32"/>
  <c r="I10" i="32"/>
  <c r="G9" i="32"/>
  <c r="D20" i="32"/>
  <c r="N22" i="32"/>
  <c r="T13" i="32"/>
  <c r="M16" i="32"/>
  <c r="D36" i="32"/>
  <c r="Q38" i="32"/>
  <c r="L22" i="32"/>
  <c r="Q16" i="32"/>
  <c r="D22" i="32"/>
  <c r="J30" i="32"/>
  <c r="K33" i="32"/>
  <c r="K17" i="32"/>
  <c r="J28" i="32"/>
  <c r="N16" i="32"/>
  <c r="J37" i="32"/>
  <c r="Q10" i="32"/>
  <c r="I27" i="32"/>
  <c r="K22" i="32"/>
  <c r="J5" i="32"/>
  <c r="O22" i="32"/>
  <c r="Q8" i="32"/>
  <c r="T31" i="32"/>
  <c r="Q15" i="32"/>
  <c r="O11" i="32"/>
  <c r="T17" i="32"/>
  <c r="L34" i="32"/>
  <c r="I35" i="32"/>
  <c r="K9" i="32"/>
  <c r="J26" i="32"/>
  <c r="P32" i="32"/>
  <c r="T28" i="32"/>
  <c r="L33" i="32"/>
  <c r="L23" i="32"/>
  <c r="Q14" i="32"/>
  <c r="P15" i="32"/>
  <c r="R21" i="32"/>
  <c r="Q6" i="32"/>
  <c r="I11" i="32"/>
  <c r="G8" i="32"/>
  <c r="G36" i="32"/>
  <c r="K15" i="32"/>
  <c r="S27" i="32"/>
  <c r="J31" i="32"/>
  <c r="I15" i="32"/>
  <c r="N24" i="32"/>
  <c r="N10" i="32"/>
  <c r="D29" i="32"/>
  <c r="Q37" i="32"/>
  <c r="I22" i="32"/>
  <c r="P16" i="32"/>
  <c r="D7" i="32"/>
  <c r="O24" i="32"/>
  <c r="H18" i="32"/>
  <c r="L19" i="32"/>
  <c r="I5" i="32"/>
  <c r="R16" i="32"/>
  <c r="R25" i="32"/>
  <c r="O27" i="32"/>
  <c r="R35" i="32"/>
  <c r="J7" i="32"/>
  <c r="M18" i="32"/>
  <c r="N19" i="32"/>
  <c r="N15" i="32"/>
  <c r="M24" i="32"/>
  <c r="Q5" i="32"/>
  <c r="L14" i="32"/>
  <c r="P13" i="32"/>
  <c r="M11" i="32"/>
  <c r="R33" i="32"/>
  <c r="O26" i="32"/>
  <c r="R15" i="32"/>
  <c r="J14" i="32"/>
  <c r="D38" i="32"/>
  <c r="I33" i="32"/>
  <c r="L29" i="32"/>
  <c r="I23" i="32"/>
  <c r="M12" i="32"/>
  <c r="R13" i="32"/>
  <c r="N5" i="32"/>
  <c r="K11" i="32"/>
  <c r="L12" i="32"/>
  <c r="M36" i="32"/>
  <c r="S26" i="32"/>
  <c r="D5" i="32"/>
  <c r="O8" i="32"/>
  <c r="T33" i="32"/>
  <c r="T5" i="32"/>
  <c r="Q24" i="32"/>
  <c r="N26" i="32"/>
  <c r="F38" i="32"/>
  <c r="I6" i="32"/>
  <c r="P19" i="32"/>
  <c r="Q21" i="32"/>
  <c r="F37" i="32"/>
  <c r="T6" i="32"/>
  <c r="M37" i="32"/>
  <c r="N34" i="32"/>
  <c r="F9" i="32"/>
  <c r="F31" i="32"/>
  <c r="F14" i="32"/>
  <c r="K31" i="32"/>
  <c r="T12" i="32"/>
  <c r="K37" i="32"/>
  <c r="O35" i="32"/>
  <c r="Q9" i="32"/>
  <c r="P6" i="32"/>
  <c r="G13" i="32"/>
  <c r="K28" i="32"/>
  <c r="G32" i="32"/>
  <c r="H17" i="32"/>
  <c r="D21" i="32"/>
  <c r="T37" i="32"/>
  <c r="H34" i="32"/>
  <c r="G14" i="32"/>
  <c r="M13" i="32"/>
  <c r="F23" i="32"/>
  <c r="L7" i="32"/>
  <c r="M7" i="32"/>
  <c r="T29" i="32"/>
  <c r="T32" i="32"/>
  <c r="G18" i="32"/>
  <c r="Q35" i="32"/>
  <c r="F10" i="32"/>
  <c r="T26" i="32"/>
  <c r="S36" i="32"/>
  <c r="I24" i="32"/>
  <c r="Q29" i="32"/>
  <c r="F33" i="32"/>
  <c r="K29" i="32"/>
  <c r="H5" i="32"/>
  <c r="O25" i="32"/>
  <c r="N27" i="32"/>
  <c r="L5" i="32"/>
  <c r="I18" i="32"/>
  <c r="J36" i="32"/>
  <c r="G35" i="32"/>
  <c r="O16" i="32"/>
  <c r="S34" i="32"/>
  <c r="Q11" i="32"/>
  <c r="Q30" i="32"/>
  <c r="I13" i="32"/>
  <c r="F32" i="32"/>
  <c r="F12" i="32"/>
  <c r="R11" i="32"/>
  <c r="K26" i="32"/>
  <c r="J6" i="32"/>
  <c r="M6" i="32"/>
  <c r="I26" i="32"/>
  <c r="O13" i="32"/>
  <c r="O5" i="32"/>
  <c r="I29" i="32"/>
  <c r="F17" i="32"/>
  <c r="O29" i="32"/>
  <c r="O12" i="32"/>
  <c r="S29" i="32"/>
  <c r="S31" i="32"/>
  <c r="R6" i="32"/>
  <c r="K34" i="32"/>
  <c r="G7" i="32"/>
  <c r="O37" i="32"/>
  <c r="D28" i="32"/>
  <c r="L32" i="32"/>
  <c r="I9" i="32"/>
  <c r="P26" i="32"/>
  <c r="G23" i="32"/>
  <c r="T36" i="32"/>
  <c r="D19" i="32"/>
  <c r="G5" i="32"/>
  <c r="Q31" i="32"/>
  <c r="T20" i="32"/>
  <c r="G10" i="32"/>
  <c r="G37" i="32"/>
  <c r="N30" i="32"/>
  <c r="N29" i="32"/>
  <c r="R23" i="32"/>
  <c r="P18" i="32"/>
  <c r="G20" i="32"/>
  <c r="K6" i="32"/>
  <c r="Q33" i="32"/>
  <c r="P9" i="32"/>
  <c r="S37" i="32"/>
  <c r="Q7" i="32"/>
  <c r="F16" i="32"/>
  <c r="J16" i="32"/>
  <c r="T15" i="32"/>
  <c r="P14" i="32"/>
  <c r="I37" i="32"/>
  <c r="J29" i="32"/>
  <c r="J10" i="32"/>
  <c r="R17" i="32"/>
  <c r="O28" i="32"/>
  <c r="H32" i="32"/>
  <c r="H7" i="32"/>
  <c r="K21" i="32"/>
  <c r="G12" i="32"/>
  <c r="L31" i="32"/>
  <c r="N32" i="32"/>
  <c r="D37" i="32"/>
  <c r="K23" i="32"/>
  <c r="K16" i="32"/>
  <c r="G16" i="32"/>
  <c r="T24" i="32"/>
  <c r="P11" i="32"/>
  <c r="H12" i="32"/>
  <c r="D24" i="32"/>
  <c r="T9" i="32"/>
  <c r="J9" i="32"/>
  <c r="S35" i="32"/>
  <c r="G6" i="32"/>
  <c r="K8" i="32"/>
  <c r="O30" i="32"/>
  <c r="Q12" i="32"/>
  <c r="F28" i="32"/>
  <c r="P33" i="32"/>
  <c r="K19" i="32"/>
  <c r="L21" i="32"/>
  <c r="H27" i="32"/>
  <c r="D35" i="32"/>
  <c r="J11" i="32"/>
  <c r="S16" i="32"/>
  <c r="F13" i="32"/>
  <c r="D30" i="32"/>
  <c r="S24" i="32"/>
  <c r="L9" i="32"/>
  <c r="L15" i="32"/>
  <c r="N23" i="32"/>
  <c r="G38" i="32"/>
  <c r="H21" i="32"/>
  <c r="R34" i="32"/>
  <c r="D33" i="32"/>
  <c r="M5" i="32"/>
  <c r="H31" i="32"/>
  <c r="H24" i="32"/>
  <c r="D23" i="32"/>
  <c r="I31" i="32"/>
  <c r="K18" i="32"/>
  <c r="H23" i="32"/>
  <c r="J24" i="32"/>
  <c r="Q13" i="32"/>
  <c r="F20" i="32"/>
  <c r="O31" i="32"/>
  <c r="N25" i="32"/>
  <c r="I16" i="32"/>
  <c r="S11" i="32"/>
  <c r="K32" i="32"/>
  <c r="I25" i="32"/>
  <c r="I28" i="32"/>
  <c r="N13" i="32"/>
  <c r="P38" i="32"/>
  <c r="M35" i="32"/>
  <c r="D6" i="32"/>
  <c r="M15" i="32"/>
  <c r="K24" i="32"/>
  <c r="O18" i="32"/>
  <c r="D27" i="32"/>
  <c r="K14" i="32"/>
  <c r="H29" i="32"/>
  <c r="M14" i="32"/>
  <c r="Q32" i="32"/>
  <c r="T11" i="32"/>
  <c r="R24" i="32"/>
  <c r="F21" i="32"/>
  <c r="P30" i="32"/>
  <c r="J25" i="32"/>
  <c r="J18" i="32"/>
  <c r="D14" i="32"/>
  <c r="N6" i="32"/>
  <c r="H33" i="32"/>
  <c r="P5" i="32"/>
  <c r="N20" i="32"/>
  <c r="R38" i="32"/>
  <c r="R22" i="32"/>
  <c r="Q28" i="32"/>
  <c r="Q36" i="32"/>
  <c r="H20" i="32"/>
  <c r="P29" i="32"/>
  <c r="G31" i="32"/>
  <c r="P37" i="32"/>
  <c r="P17" i="32"/>
  <c r="M8" i="32"/>
  <c r="G15" i="32"/>
  <c r="J38" i="32"/>
  <c r="N11" i="32"/>
  <c r="Q23" i="32"/>
  <c r="M20" i="32"/>
  <c r="J15" i="32"/>
  <c r="F18" i="32"/>
  <c r="P10" i="32"/>
  <c r="F29" i="32"/>
  <c r="S21" i="32"/>
  <c r="R36" i="32"/>
  <c r="S17" i="32"/>
  <c r="I12" i="32"/>
  <c r="O38" i="32"/>
  <c r="S18" i="32"/>
  <c r="H9" i="32"/>
  <c r="D18" i="32"/>
  <c r="P25" i="32"/>
  <c r="M10" i="32"/>
  <c r="G24" i="32"/>
  <c r="G29" i="32"/>
  <c r="J27" i="32"/>
  <c r="N33" i="32"/>
  <c r="J12" i="32"/>
  <c r="S13" i="32"/>
  <c r="T35" i="32"/>
  <c r="N8" i="32"/>
  <c r="M31" i="32"/>
  <c r="F36" i="32"/>
  <c r="D32" i="32"/>
  <c r="D11" i="32"/>
  <c r="R9" i="32"/>
  <c r="S7" i="32"/>
  <c r="T22" i="32"/>
  <c r="K13" i="32"/>
  <c r="T23" i="32"/>
  <c r="N35" i="32"/>
  <c r="J8" i="32"/>
  <c r="K10" i="32"/>
  <c r="F24" i="32"/>
  <c r="D26" i="32"/>
  <c r="O34" i="32"/>
  <c r="S6" i="32"/>
  <c r="I7" i="32"/>
  <c r="T16" i="32"/>
  <c r="N21" i="32"/>
  <c r="D15" i="32"/>
  <c r="I14" i="32"/>
  <c r="S22" i="32"/>
  <c r="M30" i="32"/>
  <c r="H37" i="32"/>
  <c r="Q25" i="32"/>
  <c r="H19" i="32"/>
  <c r="M17" i="32"/>
  <c r="D10" i="32"/>
  <c r="T25" i="32"/>
  <c r="M32" i="32"/>
  <c r="G21" i="32"/>
  <c r="R28" i="32"/>
  <c r="H28" i="32"/>
  <c r="I8" i="32"/>
  <c r="Q19" i="32"/>
  <c r="K20" i="32"/>
  <c r="P7" i="32"/>
  <c r="O36" i="32"/>
  <c r="L37" i="32"/>
  <c r="S10" i="32"/>
  <c r="L24" i="32"/>
  <c r="T21" i="32"/>
  <c r="R29" i="32"/>
  <c r="R26" i="32"/>
  <c r="R19" i="32"/>
  <c r="K7" i="32"/>
  <c r="P21" i="32"/>
  <c r="M34" i="32"/>
  <c r="Q27" i="32"/>
  <c r="G27" i="32"/>
  <c r="R12" i="32"/>
  <c r="M9" i="32"/>
  <c r="J34" i="32"/>
  <c r="G17" i="32"/>
  <c r="D25" i="32"/>
  <c r="I20" i="32"/>
  <c r="I36" i="32"/>
  <c r="O19" i="32"/>
  <c r="F34" i="32"/>
  <c r="O21" i="32"/>
  <c r="G34" i="32"/>
  <c r="F11" i="32"/>
  <c r="G22" i="32"/>
  <c r="J35" i="32"/>
  <c r="O10" i="32"/>
  <c r="G26" i="32"/>
  <c r="J23" i="32"/>
  <c r="P36" i="32"/>
  <c r="S25" i="32"/>
  <c r="F25" i="32"/>
  <c r="O32" i="32"/>
  <c r="N9" i="32"/>
  <c r="I34" i="32"/>
  <c r="L6" i="32"/>
  <c r="H35" i="32"/>
  <c r="L16" i="32"/>
  <c r="G30" i="32"/>
  <c r="J32" i="32"/>
  <c r="D31" i="32"/>
  <c r="P20" i="32"/>
  <c r="R5" i="32"/>
  <c r="H15" i="32"/>
  <c r="L13" i="32"/>
  <c r="G28" i="32"/>
  <c r="K36" i="32"/>
  <c r="I30" i="32"/>
  <c r="R27" i="32"/>
  <c r="H13" i="32"/>
  <c r="P22" i="32"/>
  <c r="P27" i="32"/>
  <c r="M29" i="32"/>
  <c r="F30" i="32"/>
  <c r="R37" i="32"/>
  <c r="H14" i="32"/>
  <c r="S14" i="32"/>
  <c r="D4" i="32"/>
  <c r="H36" i="32"/>
  <c r="K38" i="32"/>
  <c r="S23" i="32"/>
  <c r="G19" i="32"/>
  <c r="T19" i="32"/>
  <c r="K12" i="32"/>
  <c r="I19" i="32"/>
  <c r="F6" i="32"/>
  <c r="M22" i="32"/>
  <c r="R32" i="32"/>
  <c r="O23" i="32"/>
  <c r="H38" i="32"/>
  <c r="K27" i="32"/>
  <c r="D16" i="32"/>
  <c r="S9" i="32"/>
  <c r="L11" i="32"/>
  <c r="G11" i="32"/>
  <c r="R18" i="32"/>
  <c r="K35" i="32"/>
  <c r="M38" i="32"/>
  <c r="D12" i="32"/>
  <c r="S19" i="32"/>
  <c r="T8" i="32"/>
  <c r="L38" i="32"/>
  <c r="F7" i="32"/>
  <c r="N17" i="32"/>
  <c r="Q34" i="32"/>
  <c r="J22" i="32"/>
  <c r="S8" i="32"/>
  <c r="I32" i="32"/>
  <c r="Q18" i="32"/>
  <c r="T10" i="32"/>
  <c r="T18" i="32"/>
  <c r="M26" i="32"/>
  <c r="F8" i="32"/>
  <c r="N7" i="32"/>
  <c r="N31" i="32"/>
  <c r="K25" i="32"/>
  <c r="R31" i="32"/>
  <c r="D13" i="32"/>
  <c r="J19" i="32"/>
  <c r="J13" i="32"/>
  <c r="H26" i="32"/>
  <c r="I21" i="32"/>
  <c r="F42" i="32"/>
  <c r="G42" i="32" s="1"/>
  <c r="S5" i="32"/>
  <c r="O7" i="32"/>
  <c r="L30" i="32"/>
  <c r="Q17" i="32"/>
  <c r="D34" i="32"/>
  <c r="F19" i="32"/>
  <c r="J20" i="32"/>
  <c r="N38" i="32"/>
  <c r="S38" i="32"/>
  <c r="L17" i="32"/>
  <c r="F5" i="32"/>
  <c r="S28" i="32"/>
  <c r="R20" i="32"/>
  <c r="O15" i="32"/>
  <c r="N12" i="32"/>
  <c r="T14" i="32"/>
  <c r="P8" i="32"/>
  <c r="M25" i="32"/>
  <c r="T30" i="32"/>
  <c r="H22" i="32"/>
  <c r="D17" i="32"/>
  <c r="T38" i="32"/>
  <c r="F22" i="32"/>
  <c r="J33" i="32"/>
  <c r="T34" i="32"/>
  <c r="M28" i="32"/>
  <c r="N36" i="32"/>
  <c r="H10" i="32"/>
  <c r="N28" i="32"/>
  <c r="N37" i="32"/>
  <c r="M27" i="32"/>
  <c r="R39" i="32" l="1"/>
  <c r="O39" i="32"/>
  <c r="P39" i="32"/>
  <c r="L39" i="32"/>
  <c r="T39" i="32"/>
  <c r="G49" i="32"/>
  <c r="B46" i="32" s="1"/>
  <c r="N39" i="32"/>
  <c r="H39" i="32"/>
  <c r="M39" i="32"/>
  <c r="F39" i="32"/>
  <c r="B44" i="32" s="1"/>
  <c r="G39" i="32"/>
  <c r="D39" i="32"/>
  <c r="B42" i="32" s="1"/>
  <c r="B45" i="32" l="1"/>
  <c r="B48" i="32" s="1"/>
  <c r="B49" i="32" l="1"/>
  <c r="B47" i="32"/>
</calcChain>
</file>

<file path=xl/sharedStrings.xml><?xml version="1.0" encoding="utf-8"?>
<sst xmlns="http://schemas.openxmlformats.org/spreadsheetml/2006/main" count="2119" uniqueCount="292">
  <si>
    <t>الايرادات والمبيعات</t>
  </si>
  <si>
    <t>البيان</t>
  </si>
  <si>
    <t>المبلغ</t>
  </si>
  <si>
    <t>رقم الورديه</t>
  </si>
  <si>
    <t>التاريخ</t>
  </si>
  <si>
    <t>اليوميه</t>
  </si>
  <si>
    <t>الاجمالي</t>
  </si>
  <si>
    <t>العجز</t>
  </si>
  <si>
    <t>جزر وجرجير وليمون</t>
  </si>
  <si>
    <t>بانيه</t>
  </si>
  <si>
    <t>كبده</t>
  </si>
  <si>
    <t>لحمه</t>
  </si>
  <si>
    <t>عيش</t>
  </si>
  <si>
    <t>اجمالى مصروفات</t>
  </si>
  <si>
    <t>صاله</t>
  </si>
  <si>
    <t>تيك اوي</t>
  </si>
  <si>
    <t>ضيافه</t>
  </si>
  <si>
    <t>دليفري</t>
  </si>
  <si>
    <t>اجل</t>
  </si>
  <si>
    <t>اجمالى الايرادات</t>
  </si>
  <si>
    <t xml:space="preserve">اجل </t>
  </si>
  <si>
    <t>اجمالى المصروفات</t>
  </si>
  <si>
    <t>صافى النقدية</t>
  </si>
  <si>
    <t xml:space="preserve">جرد النقدية </t>
  </si>
  <si>
    <t>الزيادة</t>
  </si>
  <si>
    <t>الاجمالى</t>
  </si>
  <si>
    <t>فئة النقدية</t>
  </si>
  <si>
    <t>العدد</t>
  </si>
  <si>
    <t xml:space="preserve">الاجمالى </t>
  </si>
  <si>
    <t>التوازن</t>
  </si>
  <si>
    <t>خصومات</t>
  </si>
  <si>
    <t>بدل انتقالات</t>
  </si>
  <si>
    <t xml:space="preserve">مصروفات عمومية </t>
  </si>
  <si>
    <t xml:space="preserve">منظفات ومطهرات </t>
  </si>
  <si>
    <t>منظفات ومطهرات</t>
  </si>
  <si>
    <t>ضيافة</t>
  </si>
  <si>
    <t>التقرير المالى                                     7-5-2023</t>
  </si>
  <si>
    <t>رصيد خزينة مرحل</t>
  </si>
  <si>
    <t xml:space="preserve">الحلويات </t>
  </si>
  <si>
    <t xml:space="preserve">فواتير كهرباء ومياه </t>
  </si>
  <si>
    <t>انابيب الغاز</t>
  </si>
  <si>
    <t>الخزينة</t>
  </si>
  <si>
    <t>مدين</t>
  </si>
  <si>
    <t>دائن</t>
  </si>
  <si>
    <t>الرصيد</t>
  </si>
  <si>
    <t>مصاريف اخري</t>
  </si>
  <si>
    <t xml:space="preserve">مردودات المبيعات </t>
  </si>
  <si>
    <t xml:space="preserve">التاريخ </t>
  </si>
  <si>
    <t xml:space="preserve">وارد </t>
  </si>
  <si>
    <t xml:space="preserve">منصرف </t>
  </si>
  <si>
    <t xml:space="preserve">بيان </t>
  </si>
  <si>
    <t xml:space="preserve">ملاحظات </t>
  </si>
  <si>
    <t xml:space="preserve">مدين </t>
  </si>
  <si>
    <t xml:space="preserve">دائن </t>
  </si>
  <si>
    <t xml:space="preserve">مشتريات مطعم اصل الكشري </t>
  </si>
  <si>
    <t>احدي محلات احمد كشري</t>
  </si>
  <si>
    <t>موردين مواد خام للمحل</t>
  </si>
  <si>
    <t>رصيد</t>
  </si>
  <si>
    <t>اسم المورد</t>
  </si>
  <si>
    <t xml:space="preserve">نبيل شعبان </t>
  </si>
  <si>
    <t>مشال وارضية</t>
  </si>
  <si>
    <t xml:space="preserve">طاجن فراخ </t>
  </si>
  <si>
    <t>طاجن كبدة موزاريلا</t>
  </si>
  <si>
    <t xml:space="preserve">كمية </t>
  </si>
  <si>
    <t xml:space="preserve">مبلغ السلفة </t>
  </si>
  <si>
    <t xml:space="preserve">اسم العامل </t>
  </si>
  <si>
    <t>اجمالي الراتب</t>
  </si>
  <si>
    <t>صافي الراتب</t>
  </si>
  <si>
    <t>يوجد عجز 25ج بسبب 1 طاجن فراخ للقياتي ولم يسدد</t>
  </si>
  <si>
    <t xml:space="preserve">طاجن كبدة </t>
  </si>
  <si>
    <t xml:space="preserve">سعر </t>
  </si>
  <si>
    <t xml:space="preserve">مبلغ </t>
  </si>
  <si>
    <t xml:space="preserve">طاجن فراخ موزاريلا </t>
  </si>
  <si>
    <t xml:space="preserve">كمية المواد الخام خلال الفترة </t>
  </si>
  <si>
    <t xml:space="preserve">كبدة </t>
  </si>
  <si>
    <t xml:space="preserve">فراخ </t>
  </si>
  <si>
    <t xml:space="preserve">الاجمالي </t>
  </si>
  <si>
    <t xml:space="preserve">المتبقي من الفاتورة </t>
  </si>
  <si>
    <t xml:space="preserve">10عديات طماطم </t>
  </si>
  <si>
    <t xml:space="preserve">مبلغ تحت الصرف </t>
  </si>
  <si>
    <t xml:space="preserve">الكمية الفعلية </t>
  </si>
  <si>
    <t xml:space="preserve">الكمية التقديرة </t>
  </si>
  <si>
    <t xml:space="preserve">صابون سائل </t>
  </si>
  <si>
    <t xml:space="preserve">سلك مواعين </t>
  </si>
  <si>
    <t>3كوارير مياة</t>
  </si>
  <si>
    <t xml:space="preserve">3انابيب غاز </t>
  </si>
  <si>
    <t xml:space="preserve">ناصر سيد </t>
  </si>
  <si>
    <t xml:space="preserve">شهاب مجدي </t>
  </si>
  <si>
    <t xml:space="preserve">محمد ممدوح </t>
  </si>
  <si>
    <t xml:space="preserve">احمد يوسف </t>
  </si>
  <si>
    <t xml:space="preserve">انس احمد </t>
  </si>
  <si>
    <t xml:space="preserve">عبد الحميد </t>
  </si>
  <si>
    <t xml:space="preserve">احمد عيد معمل </t>
  </si>
  <si>
    <t xml:space="preserve">محمد استيور </t>
  </si>
  <si>
    <t>حسين دليفري</t>
  </si>
  <si>
    <t xml:space="preserve">الشيف عمرو </t>
  </si>
  <si>
    <t xml:space="preserve">ابو حازم </t>
  </si>
  <si>
    <t>يوسف استيور</t>
  </si>
  <si>
    <t xml:space="preserve">عبد الرحمن كونتر </t>
  </si>
  <si>
    <t xml:space="preserve">محمد سيف </t>
  </si>
  <si>
    <t>شعبان معمل</t>
  </si>
  <si>
    <t xml:space="preserve">جرجير + جزر +ليمون </t>
  </si>
  <si>
    <t xml:space="preserve">ناصر سيد نصف يومية </t>
  </si>
  <si>
    <t xml:space="preserve">شعبان معمل </t>
  </si>
  <si>
    <t xml:space="preserve">محمد محمود </t>
  </si>
  <si>
    <t>ابو حازم</t>
  </si>
  <si>
    <t xml:space="preserve">يوسف استيور </t>
  </si>
  <si>
    <t xml:space="preserve">حسين دليفري </t>
  </si>
  <si>
    <t xml:space="preserve"> سلفة محمود البحار </t>
  </si>
  <si>
    <t xml:space="preserve">اجمالي الكبدة </t>
  </si>
  <si>
    <t xml:space="preserve">اجمالي الفراخ </t>
  </si>
  <si>
    <t xml:space="preserve">كمية فعلية </t>
  </si>
  <si>
    <t xml:space="preserve">كمية تقديرية </t>
  </si>
  <si>
    <t xml:space="preserve">الفرق </t>
  </si>
  <si>
    <t xml:space="preserve">الموجود فعلي </t>
  </si>
  <si>
    <t>10عديات×950ج</t>
  </si>
  <si>
    <t>10عديات×1000ج</t>
  </si>
  <si>
    <t>4نقلات×50ج</t>
  </si>
  <si>
    <t xml:space="preserve">609ك بصل </t>
  </si>
  <si>
    <t>609ك×16ج</t>
  </si>
  <si>
    <t xml:space="preserve">طماطم </t>
  </si>
  <si>
    <t xml:space="preserve">سداد المستحق </t>
  </si>
  <si>
    <t>4ك كبدة×115ج</t>
  </si>
  <si>
    <t xml:space="preserve">محمود البحار </t>
  </si>
  <si>
    <t xml:space="preserve">انتقالات </t>
  </si>
  <si>
    <t xml:space="preserve">عيش </t>
  </si>
  <si>
    <t>شحن كارت الكهرباء</t>
  </si>
  <si>
    <t>محمد ممدوح باقي من اليومية 110ج</t>
  </si>
  <si>
    <t>ناصر سيد باقي من اليومية 120ج</t>
  </si>
  <si>
    <t xml:space="preserve">غاز </t>
  </si>
  <si>
    <t>احمد يوسف</t>
  </si>
  <si>
    <t xml:space="preserve">مصاريف قهوة في المحل الحاج محمد كشري </t>
  </si>
  <si>
    <t>30شيكارة مكرونة خرز ×180ج</t>
  </si>
  <si>
    <t xml:space="preserve">ادهم كشري </t>
  </si>
  <si>
    <t>10شيكارة مكرونة اسباكتي ×180ج</t>
  </si>
  <si>
    <t>10شيكارة مكرونة قلم فرن ×185ج</t>
  </si>
  <si>
    <t>5شيكارة شعرية ×180ج</t>
  </si>
  <si>
    <t>2شيكارة عدس</t>
  </si>
  <si>
    <t>25ك عدس ×45ج</t>
  </si>
  <si>
    <t>5شيكارة ملح×40ج</t>
  </si>
  <si>
    <t xml:space="preserve">تريسكل نقل البضاعة </t>
  </si>
  <si>
    <t xml:space="preserve">جرجير + ليمون </t>
  </si>
  <si>
    <t xml:space="preserve">سلك </t>
  </si>
  <si>
    <t xml:space="preserve">2ك ونص عدس </t>
  </si>
  <si>
    <t xml:space="preserve">عيش توست </t>
  </si>
  <si>
    <t xml:space="preserve">عيش  </t>
  </si>
  <si>
    <t xml:space="preserve">علب حلويات </t>
  </si>
  <si>
    <t xml:space="preserve">فانليا </t>
  </si>
  <si>
    <t xml:space="preserve">3ك سكر </t>
  </si>
  <si>
    <t xml:space="preserve">حليب </t>
  </si>
  <si>
    <t xml:space="preserve">علبة كاستر </t>
  </si>
  <si>
    <t>ناصر سيد + باقي يومية 3/7</t>
  </si>
  <si>
    <t xml:space="preserve">الشيف عمرو خصم 60ج تاخير </t>
  </si>
  <si>
    <t xml:space="preserve">احمد عيد </t>
  </si>
  <si>
    <t>محمد ممدوح +باقي يومية 3/7</t>
  </si>
  <si>
    <t>الكمية الموجود بالمحل بالكيلو</t>
  </si>
  <si>
    <t xml:space="preserve">مرقة دجاج </t>
  </si>
  <si>
    <t>ذرة للحاج احمد</t>
  </si>
  <si>
    <t>انس احمد</t>
  </si>
  <si>
    <t>محمد سيف</t>
  </si>
  <si>
    <t xml:space="preserve">عجز في الكبدة بالكيلو </t>
  </si>
  <si>
    <t xml:space="preserve">عجز في الفراخ بالكيلو </t>
  </si>
  <si>
    <t xml:space="preserve">12ك كبدة رصيد مرحل والرصيد الفعلي المرحل 4ك </t>
  </si>
  <si>
    <t xml:space="preserve">جرجير +ليمون </t>
  </si>
  <si>
    <t xml:space="preserve">بطاطس </t>
  </si>
  <si>
    <t>9ك كبدة ×115ج</t>
  </si>
  <si>
    <t xml:space="preserve">نظافة زجاج شهري </t>
  </si>
  <si>
    <t xml:space="preserve">ارز +لبن +فانليا +علب </t>
  </si>
  <si>
    <t xml:space="preserve">احمد يوسف 2 وردية </t>
  </si>
  <si>
    <t xml:space="preserve">خل </t>
  </si>
  <si>
    <t>جز ر وفلفل</t>
  </si>
  <si>
    <t xml:space="preserve">كهرباء </t>
  </si>
  <si>
    <t xml:space="preserve">مياه </t>
  </si>
  <si>
    <t xml:space="preserve">جرجير +جزلر +ليمون </t>
  </si>
  <si>
    <t>انابيب</t>
  </si>
  <si>
    <t>الشيف عمرو</t>
  </si>
  <si>
    <t xml:space="preserve">25ك فراخ رصيد مرحل موجود فعلي 13 </t>
  </si>
  <si>
    <t>شحن كهرباء</t>
  </si>
  <si>
    <t>ناصر سيد</t>
  </si>
  <si>
    <t>شهاب مجدي</t>
  </si>
  <si>
    <t>محمد ممدوح</t>
  </si>
  <si>
    <t xml:space="preserve">ابو زياد دليفري </t>
  </si>
  <si>
    <t>عبد الحميد</t>
  </si>
  <si>
    <t>عبد الرحمن كونتر</t>
  </si>
  <si>
    <t xml:space="preserve">ابوحازم </t>
  </si>
  <si>
    <t xml:space="preserve">الحصان </t>
  </si>
  <si>
    <t>5ك كبدة ×115ج</t>
  </si>
  <si>
    <t xml:space="preserve">علي كشري </t>
  </si>
  <si>
    <t xml:space="preserve">الحاج احمد </t>
  </si>
  <si>
    <t xml:space="preserve">المكتب </t>
  </si>
  <si>
    <t xml:space="preserve">العاملين بالمحل </t>
  </si>
  <si>
    <t xml:space="preserve">البيت </t>
  </si>
  <si>
    <t xml:space="preserve">حاتم </t>
  </si>
  <si>
    <t xml:space="preserve">نادي المحافظة </t>
  </si>
  <si>
    <t xml:space="preserve">محمد كشري قارون </t>
  </si>
  <si>
    <t>ام معتز</t>
  </si>
  <si>
    <t xml:space="preserve">اسامة رشدي </t>
  </si>
  <si>
    <t xml:space="preserve">اسلام بدوي </t>
  </si>
  <si>
    <t>محمد ربيع النقاش</t>
  </si>
  <si>
    <t>محمد صابر ممس</t>
  </si>
  <si>
    <t xml:space="preserve">عمرو كشري </t>
  </si>
  <si>
    <t>نبيل شعبان</t>
  </si>
  <si>
    <t>الجمعية</t>
  </si>
  <si>
    <t xml:space="preserve">صابون كلور </t>
  </si>
  <si>
    <t>غاز باقي 500</t>
  </si>
  <si>
    <t xml:space="preserve">باقي ح/ الغاز </t>
  </si>
  <si>
    <t xml:space="preserve">باقي فاتورة البيبسي </t>
  </si>
  <si>
    <t xml:space="preserve">بريل مواعين </t>
  </si>
  <si>
    <t xml:space="preserve">جرجير + ليمون +جزر </t>
  </si>
  <si>
    <t xml:space="preserve">شحن الكهرباء </t>
  </si>
  <si>
    <t>عيش للتوست</t>
  </si>
  <si>
    <t>احمد عيد معمل</t>
  </si>
  <si>
    <t>بطاس</t>
  </si>
  <si>
    <t>احمد عبد المجيد</t>
  </si>
  <si>
    <t>6ك كبدة ×115ج</t>
  </si>
  <si>
    <t>15ك فراخ ×140ج</t>
  </si>
  <si>
    <t>10عديات ×1250ج</t>
  </si>
  <si>
    <t>10عديات ×1230ج</t>
  </si>
  <si>
    <t xml:space="preserve">750ك بصل </t>
  </si>
  <si>
    <t>750ك بصل ×21ج</t>
  </si>
  <si>
    <t>سداد جزء من المستحق وباقي 8620</t>
  </si>
  <si>
    <t xml:space="preserve">الخزينة </t>
  </si>
  <si>
    <t>جرجير + جزر +ليمون</t>
  </si>
  <si>
    <t xml:space="preserve">علب </t>
  </si>
  <si>
    <t>ناصر سيد  تطبيق وباقي 50ج</t>
  </si>
  <si>
    <t>غاز باقي ح/ 3انابيب</t>
  </si>
  <si>
    <t>علب + غطاء</t>
  </si>
  <si>
    <t xml:space="preserve">1بكرة كاشير </t>
  </si>
  <si>
    <t>ناصر سيد تطبيق  وباقي يومية امس</t>
  </si>
  <si>
    <t>سداد جزء من المستحق وباقي 3620</t>
  </si>
  <si>
    <t>25ك حمص ×45ج</t>
  </si>
  <si>
    <t>1شيكارة عدس</t>
  </si>
  <si>
    <t>5شكاير ارز ×725ج</t>
  </si>
  <si>
    <t>سداد الفاتورة سند صرف 1013</t>
  </si>
  <si>
    <t xml:space="preserve">سداد نقدي </t>
  </si>
  <si>
    <t>سداد الفاتورة سند صرف 1074</t>
  </si>
  <si>
    <t xml:space="preserve">جرجير +ليمون +جزر </t>
  </si>
  <si>
    <t xml:space="preserve">كيلو فلفل رومي </t>
  </si>
  <si>
    <t xml:space="preserve">شحن كارت الكهرباء </t>
  </si>
  <si>
    <t xml:space="preserve">ذرة للحاج احمد </t>
  </si>
  <si>
    <t>ياسين احمد</t>
  </si>
  <si>
    <t xml:space="preserve">عيش للتوست </t>
  </si>
  <si>
    <t xml:space="preserve">بوطاس </t>
  </si>
  <si>
    <t>10ك فراخ ×147ج</t>
  </si>
  <si>
    <t xml:space="preserve">شحن كهرباء </t>
  </si>
  <si>
    <t>صابون سائل</t>
  </si>
  <si>
    <t>فلفل رومي</t>
  </si>
  <si>
    <t xml:space="preserve">حسن دليفري </t>
  </si>
  <si>
    <t xml:space="preserve">ناصر سيد 2 وردية </t>
  </si>
  <si>
    <t xml:space="preserve">جلد انابيب </t>
  </si>
  <si>
    <t>6ك كبدة ×105ج</t>
  </si>
  <si>
    <t xml:space="preserve">علب لبن وارز وفانليا </t>
  </si>
  <si>
    <t>10ك كبدة ×105ج</t>
  </si>
  <si>
    <t>10ك فراخ ×140ج</t>
  </si>
  <si>
    <t xml:space="preserve">بريل </t>
  </si>
  <si>
    <t>جرجير +يمون +جزر</t>
  </si>
  <si>
    <t xml:space="preserve">فلفل رومي </t>
  </si>
  <si>
    <t>محمد استيور</t>
  </si>
  <si>
    <t xml:space="preserve">فاتورة توابل </t>
  </si>
  <si>
    <t>سد الفاتورة سند صرف 1109</t>
  </si>
  <si>
    <t>خل</t>
  </si>
  <si>
    <t>ابو زياد دليفري</t>
  </si>
  <si>
    <t xml:space="preserve">طلبات سباكة </t>
  </si>
  <si>
    <t xml:space="preserve">ناصر سيد 2وردية </t>
  </si>
  <si>
    <t xml:space="preserve">فلفل رومي اخضر </t>
  </si>
  <si>
    <t>اسبونشة مواعين</t>
  </si>
  <si>
    <t>انتقالات</t>
  </si>
  <si>
    <t>سلك مواعين</t>
  </si>
  <si>
    <t>سداد المستحق بسند صرف 1119</t>
  </si>
  <si>
    <t xml:space="preserve">بطاس </t>
  </si>
  <si>
    <t>عدس</t>
  </si>
  <si>
    <t>محمد محمود</t>
  </si>
  <si>
    <t>فلفل رومى اخضر</t>
  </si>
  <si>
    <t>غاز</t>
  </si>
  <si>
    <t>عبد الحميد الدفنوى</t>
  </si>
  <si>
    <t xml:space="preserve"> شهاب مجدى</t>
  </si>
  <si>
    <t xml:space="preserve"> ابو حازم</t>
  </si>
  <si>
    <t xml:space="preserve"> ناصر سيد</t>
  </si>
  <si>
    <t xml:space="preserve"> شعبان احمد معمل</t>
  </si>
  <si>
    <t xml:space="preserve"> احمد عيد معمل</t>
  </si>
  <si>
    <t>حسين دليفرى</t>
  </si>
  <si>
    <t>جرجير+ليمون</t>
  </si>
  <si>
    <t xml:space="preserve">سكر   </t>
  </si>
  <si>
    <t>شعبان احمد معمل</t>
  </si>
  <si>
    <t>شهاب مجدى</t>
  </si>
  <si>
    <t>عبده كاونتر</t>
  </si>
  <si>
    <t xml:space="preserve">تنقلات </t>
  </si>
  <si>
    <t>10ك كبدة ×115ج</t>
  </si>
  <si>
    <t>10عديات ×1350ج</t>
  </si>
  <si>
    <t>10عديات ×1750</t>
  </si>
  <si>
    <t>سداد بسند صرف 1151</t>
  </si>
  <si>
    <t>سداد نقدي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</si>
</sst>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(* #,##0.0_);_(* \(#,##0.0\);_(* &quot;-&quot;??_);_(@_)"/>
    <numFmt numFmtId="166" formatCode="_(* #,##0.0_);_(* \(#,##0.0\);_(* &quot;-&quot;?_);_(@_)"/>
    <numFmt numFmtId="167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8"/>
      <color theme="1"/>
      <name val="Aldhabi"/>
    </font>
    <font>
      <b/>
      <sz val="28"/>
      <color indexed="8"/>
      <name val="Aldhabi"/>
    </font>
    <font>
      <b/>
      <sz val="16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gradientFill degree="90">
        <stop position="0">
          <color theme="0"/>
        </stop>
        <stop position="0.5">
          <color theme="9" tint="0.40000610370189521"/>
        </stop>
        <stop position="1">
          <color theme="0"/>
        </stop>
      </gradient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1"/>
      </left>
      <right style="thin">
        <color theme="8" tint="-0.499984740745262"/>
      </right>
      <top style="medium">
        <color theme="1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theme="1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theme="1"/>
      </right>
      <top style="medium">
        <color theme="1"/>
      </top>
      <bottom style="thin">
        <color theme="8" tint="-0.499984740745262"/>
      </bottom>
      <diagonal/>
    </border>
    <border>
      <left style="medium">
        <color theme="1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theme="1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1"/>
      </left>
      <right style="thin">
        <color theme="8" tint="-0.499984740745262"/>
      </right>
      <top style="thin">
        <color theme="8" tint="-0.499984740745262"/>
      </top>
      <bottom style="medium">
        <color theme="1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medium">
        <color theme="1"/>
      </bottom>
      <diagonal/>
    </border>
    <border>
      <left style="thin">
        <color theme="8" tint="-0.499984740745262"/>
      </left>
      <right style="medium">
        <color theme="1"/>
      </right>
      <top style="thin">
        <color theme="8" tint="-0.499984740745262"/>
      </top>
      <bottom style="medium">
        <color theme="1"/>
      </bottom>
      <diagonal/>
    </border>
    <border>
      <left style="thin">
        <color theme="8" tint="-0.499984740745262"/>
      </left>
      <right/>
      <top style="medium">
        <color theme="1"/>
      </top>
      <bottom style="thin">
        <color theme="8" tint="-0.499984740745262"/>
      </bottom>
      <diagonal/>
    </border>
    <border>
      <left/>
      <right/>
      <top/>
      <bottom style="medium">
        <color theme="1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medium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3" tint="-0.249977111117893"/>
      </left>
      <right style="thin">
        <color indexed="64"/>
      </right>
      <top style="medium">
        <color theme="3" tint="-0.249977111117893"/>
      </top>
      <bottom/>
      <diagonal/>
    </border>
    <border>
      <left style="thin">
        <color indexed="64"/>
      </left>
      <right/>
      <top style="medium">
        <color theme="3" tint="-0.249977111117893"/>
      </top>
      <bottom style="thin">
        <color indexed="64"/>
      </bottom>
      <diagonal/>
    </border>
    <border>
      <left/>
      <right/>
      <top style="medium">
        <color theme="3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3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3" tint="-0.249977111117893"/>
      </top>
      <bottom style="thin">
        <color indexed="64"/>
      </bottom>
      <diagonal/>
    </border>
    <border>
      <left style="thin">
        <color indexed="64"/>
      </left>
      <right style="medium">
        <color theme="3" tint="-0.249977111117893"/>
      </right>
      <top style="medium">
        <color theme="3" tint="-0.249977111117893"/>
      </top>
      <bottom style="thin">
        <color indexed="64"/>
      </bottom>
      <diagonal/>
    </border>
    <border>
      <left style="medium">
        <color theme="3" tint="-0.24997711111789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3" tint="-0.249977111117893"/>
      </right>
      <top style="thin">
        <color indexed="64"/>
      </top>
      <bottom style="thin">
        <color indexed="64"/>
      </bottom>
      <diagonal/>
    </border>
    <border>
      <left style="medium">
        <color theme="3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3" tint="-0.24997711111789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8" tint="-0.499984740745262"/>
      </left>
      <right style="thin">
        <color theme="8" tint="-0.499984740745262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4"/>
      </right>
      <top/>
      <bottom/>
      <diagonal/>
    </border>
    <border>
      <left style="medium">
        <color theme="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4"/>
      </right>
      <top style="thin">
        <color indexed="64"/>
      </top>
      <bottom style="thin">
        <color indexed="64"/>
      </bottom>
      <diagonal/>
    </border>
    <border>
      <left style="medium">
        <color theme="4"/>
      </left>
      <right style="thin">
        <color indexed="64"/>
      </right>
      <top style="thin">
        <color indexed="64"/>
      </top>
      <bottom style="medium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91">
    <xf numFmtId="0" fontId="0" fillId="0" borderId="0" xfId="0"/>
    <xf numFmtId="0" fontId="1" fillId="0" borderId="0" xfId="0" applyFont="1" applyBorder="1" applyAlignment="1">
      <alignment vertical="center"/>
    </xf>
    <xf numFmtId="164" fontId="0" fillId="0" borderId="1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3" fillId="0" borderId="8" xfId="1" applyFont="1" applyBorder="1" applyAlignment="1">
      <alignment horizontal="center" vertical="center"/>
    </xf>
    <xf numFmtId="164" fontId="3" fillId="0" borderId="1" xfId="1" applyFont="1" applyBorder="1" applyAlignment="1">
      <alignment horizontal="center" vertical="center"/>
    </xf>
    <xf numFmtId="164" fontId="3" fillId="0" borderId="9" xfId="1" applyFont="1" applyBorder="1" applyAlignment="1">
      <alignment horizontal="center" vertical="center"/>
    </xf>
    <xf numFmtId="164" fontId="3" fillId="0" borderId="12" xfId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/>
    <xf numFmtId="165" fontId="3" fillId="0" borderId="1" xfId="1" applyNumberFormat="1" applyFont="1" applyBorder="1" applyAlignment="1">
      <alignment vertical="center"/>
    </xf>
    <xf numFmtId="165" fontId="3" fillId="0" borderId="9" xfId="1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0" fillId="0" borderId="1" xfId="0" applyBorder="1"/>
    <xf numFmtId="0" fontId="6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3" fillId="0" borderId="0" xfId="1" applyFont="1" applyAlignment="1">
      <alignment horizontal="center" vertical="center"/>
    </xf>
    <xf numFmtId="164" fontId="0" fillId="0" borderId="0" xfId="0" applyNumberFormat="1"/>
    <xf numFmtId="164" fontId="8" fillId="0" borderId="0" xfId="0" applyNumberFormat="1" applyFont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5" fontId="0" fillId="0" borderId="0" xfId="0" applyNumberFormat="1"/>
    <xf numFmtId="164" fontId="3" fillId="0" borderId="0" xfId="0" applyNumberFormat="1" applyFont="1" applyAlignment="1">
      <alignment horizontal="center" vertical="center"/>
    </xf>
    <xf numFmtId="167" fontId="3" fillId="0" borderId="1" xfId="1" applyNumberFormat="1" applyFont="1" applyBorder="1" applyAlignment="1">
      <alignment vertical="center"/>
    </xf>
    <xf numFmtId="0" fontId="0" fillId="0" borderId="23" xfId="0" applyBorder="1"/>
    <xf numFmtId="0" fontId="0" fillId="0" borderId="27" xfId="0" applyBorder="1"/>
    <xf numFmtId="0" fontId="0" fillId="0" borderId="28" xfId="0" applyBorder="1"/>
    <xf numFmtId="0" fontId="0" fillId="0" borderId="30" xfId="0" applyBorder="1"/>
    <xf numFmtId="0" fontId="0" fillId="0" borderId="31" xfId="0" applyBorder="1"/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4" fontId="0" fillId="0" borderId="0" xfId="0" applyNumberFormat="1"/>
    <xf numFmtId="0" fontId="11" fillId="0" borderId="0" xfId="0" applyFont="1" applyBorder="1" applyAlignment="1">
      <alignment horizontal="center" vertical="center"/>
    </xf>
    <xf numFmtId="14" fontId="0" fillId="0" borderId="27" xfId="0" applyNumberFormat="1" applyBorder="1"/>
    <xf numFmtId="0" fontId="10" fillId="0" borderId="0" xfId="0" applyFont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164" fontId="0" fillId="0" borderId="30" xfId="1" applyFont="1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0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4" fillId="0" borderId="9" xfId="1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5" fillId="0" borderId="1" xfId="1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" fillId="0" borderId="0" xfId="0" applyFont="1"/>
    <xf numFmtId="43" fontId="0" fillId="0" borderId="30" xfId="0" applyNumberFormat="1" applyBorder="1"/>
    <xf numFmtId="164" fontId="13" fillId="0" borderId="1" xfId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14" fontId="13" fillId="0" borderId="1" xfId="0" applyNumberFormat="1" applyFont="1" applyBorder="1" applyAlignment="1">
      <alignment vertical="center"/>
    </xf>
    <xf numFmtId="0" fontId="3" fillId="0" borderId="1" xfId="0" applyFont="1" applyBorder="1"/>
    <xf numFmtId="164" fontId="13" fillId="0" borderId="1" xfId="1" applyFont="1" applyFill="1" applyBorder="1" applyAlignment="1">
      <alignment horizontal="center" vertical="center"/>
    </xf>
    <xf numFmtId="164" fontId="0" fillId="2" borderId="1" xfId="1" applyFont="1" applyFill="1" applyBorder="1"/>
    <xf numFmtId="164" fontId="0" fillId="3" borderId="1" xfId="1" applyFont="1" applyFill="1" applyBorder="1"/>
    <xf numFmtId="164" fontId="0" fillId="5" borderId="1" xfId="1" applyFont="1" applyFill="1" applyBorder="1"/>
    <xf numFmtId="164" fontId="0" fillId="4" borderId="58" xfId="1" applyFont="1" applyFill="1" applyBorder="1"/>
    <xf numFmtId="0" fontId="15" fillId="0" borderId="0" xfId="0" applyFont="1" applyAlignment="1">
      <alignment vertical="center"/>
    </xf>
    <xf numFmtId="164" fontId="0" fillId="2" borderId="60" xfId="1" applyFont="1" applyFill="1" applyBorder="1"/>
    <xf numFmtId="164" fontId="0" fillId="3" borderId="60" xfId="1" applyFont="1" applyFill="1" applyBorder="1"/>
    <xf numFmtId="164" fontId="0" fillId="5" borderId="60" xfId="1" applyFont="1" applyFill="1" applyBorder="1"/>
    <xf numFmtId="164" fontId="0" fillId="4" borderId="61" xfId="1" applyFont="1" applyFill="1" applyBorder="1"/>
    <xf numFmtId="164" fontId="15" fillId="0" borderId="1" xfId="1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21" xfId="0" applyFont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164" fontId="3" fillId="0" borderId="14" xfId="1" applyFont="1" applyBorder="1" applyAlignment="1">
      <alignment horizontal="center" vertical="center"/>
    </xf>
    <xf numFmtId="0" fontId="0" fillId="0" borderId="63" xfId="0" applyFill="1" applyBorder="1"/>
    <xf numFmtId="164" fontId="3" fillId="0" borderId="62" xfId="1" applyFont="1" applyFill="1" applyBorder="1" applyAlignment="1">
      <alignment horizontal="center" vertical="center"/>
    </xf>
    <xf numFmtId="164" fontId="12" fillId="0" borderId="1" xfId="1" applyFont="1" applyFill="1" applyBorder="1" applyAlignment="1">
      <alignment horizontal="center" vertical="center"/>
    </xf>
    <xf numFmtId="164" fontId="0" fillId="4" borderId="1" xfId="1" applyFont="1" applyFill="1" applyBorder="1"/>
    <xf numFmtId="164" fontId="0" fillId="0" borderId="1" xfId="1" applyFont="1" applyBorder="1"/>
    <xf numFmtId="164" fontId="0" fillId="4" borderId="60" xfId="1" applyFont="1" applyFill="1" applyBorder="1"/>
    <xf numFmtId="164" fontId="8" fillId="0" borderId="1" xfId="1" applyFont="1" applyBorder="1"/>
    <xf numFmtId="14" fontId="0" fillId="0" borderId="59" xfId="1" applyNumberFormat="1" applyFont="1" applyBorder="1"/>
    <xf numFmtId="43" fontId="0" fillId="6" borderId="0" xfId="0" applyNumberFormat="1" applyFill="1"/>
    <xf numFmtId="14" fontId="0" fillId="0" borderId="14" xfId="1" applyNumberFormat="1" applyFont="1" applyBorder="1"/>
    <xf numFmtId="0" fontId="15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6" fillId="0" borderId="47" xfId="0" applyFont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14" fontId="15" fillId="0" borderId="1" xfId="1" applyNumberFormat="1" applyFont="1" applyBorder="1" applyAlignment="1">
      <alignment horizontal="center" vertical="center" wrapText="1"/>
    </xf>
    <xf numFmtId="164" fontId="15" fillId="0" borderId="1" xfId="1" applyFont="1" applyBorder="1" applyAlignment="1">
      <alignment horizontal="center" vertical="center" wrapText="1"/>
    </xf>
    <xf numFmtId="164" fontId="15" fillId="0" borderId="48" xfId="1" applyFont="1" applyBorder="1" applyAlignment="1">
      <alignment horizontal="center" vertical="center" wrapText="1"/>
    </xf>
    <xf numFmtId="164" fontId="15" fillId="0" borderId="15" xfId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4" fontId="0" fillId="7" borderId="0" xfId="1" applyFont="1" applyFill="1"/>
    <xf numFmtId="43" fontId="0" fillId="8" borderId="0" xfId="0" applyNumberFormat="1" applyFill="1"/>
    <xf numFmtId="164" fontId="12" fillId="9" borderId="1" xfId="1" applyFont="1" applyFill="1" applyBorder="1"/>
    <xf numFmtId="164" fontId="12" fillId="9" borderId="58" xfId="1" applyFont="1" applyFill="1" applyBorder="1"/>
    <xf numFmtId="0" fontId="12" fillId="0" borderId="0" xfId="0" applyFont="1"/>
    <xf numFmtId="14" fontId="12" fillId="0" borderId="1" xfId="1" applyNumberFormat="1" applyFont="1" applyBorder="1" applyAlignment="1">
      <alignment horizontal="center" vertical="center"/>
    </xf>
    <xf numFmtId="164" fontId="12" fillId="0" borderId="1" xfId="1" applyFont="1" applyBorder="1" applyAlignment="1">
      <alignment horizontal="center" vertical="center"/>
    </xf>
    <xf numFmtId="164" fontId="12" fillId="0" borderId="14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3" fontId="0" fillId="0" borderId="1" xfId="0" applyNumberFormat="1" applyBorder="1"/>
    <xf numFmtId="43" fontId="0" fillId="0" borderId="0" xfId="0" applyNumberFormat="1"/>
    <xf numFmtId="0" fontId="0" fillId="0" borderId="0" xfId="0" applyAlignment="1">
      <alignment wrapText="1"/>
    </xf>
    <xf numFmtId="164" fontId="0" fillId="0" borderId="0" xfId="1" applyFont="1"/>
    <xf numFmtId="14" fontId="3" fillId="6" borderId="62" xfId="1" applyNumberFormat="1" applyFont="1" applyFill="1" applyBorder="1" applyAlignment="1">
      <alignment horizontal="center" vertical="center"/>
    </xf>
    <xf numFmtId="164" fontId="3" fillId="6" borderId="1" xfId="1" applyFon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164" fontId="0" fillId="0" borderId="1" xfId="1" applyFont="1" applyBorder="1" applyAlignment="1">
      <alignment horizontal="center" vertical="center" wrapText="1"/>
    </xf>
    <xf numFmtId="164" fontId="0" fillId="0" borderId="1" xfId="1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14" fontId="0" fillId="0" borderId="66" xfId="0" applyNumberFormat="1" applyBorder="1"/>
    <xf numFmtId="164" fontId="2" fillId="0" borderId="1" xfId="1" applyFont="1" applyBorder="1" applyAlignment="1">
      <alignment horizontal="center" vertical="center"/>
    </xf>
    <xf numFmtId="164" fontId="0" fillId="0" borderId="23" xfId="1" applyFont="1" applyBorder="1"/>
    <xf numFmtId="14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3" fillId="0" borderId="45" xfId="1" applyNumberFormat="1" applyFont="1" applyBorder="1" applyAlignment="1">
      <alignment horizontal="center" vertical="center"/>
    </xf>
    <xf numFmtId="165" fontId="3" fillId="0" borderId="46" xfId="1" applyNumberFormat="1" applyFont="1" applyBorder="1" applyAlignment="1">
      <alignment horizontal="center" vertical="center"/>
    </xf>
    <xf numFmtId="0" fontId="16" fillId="0" borderId="64" xfId="0" applyFont="1" applyBorder="1" applyAlignment="1">
      <alignment horizontal="center" vertical="center" wrapText="1"/>
    </xf>
    <xf numFmtId="0" fontId="16" fillId="0" borderId="65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164" fontId="12" fillId="0" borderId="16" xfId="1" applyFont="1" applyBorder="1" applyAlignment="1">
      <alignment horizontal="center"/>
    </xf>
    <xf numFmtId="164" fontId="12" fillId="0" borderId="49" xfId="1" applyFont="1" applyBorder="1" applyAlignment="1">
      <alignment horizontal="center"/>
    </xf>
    <xf numFmtId="164" fontId="12" fillId="0" borderId="14" xfId="1" applyFont="1" applyBorder="1" applyAlignment="1">
      <alignment horizontal="center"/>
    </xf>
    <xf numFmtId="164" fontId="12" fillId="9" borderId="51" xfId="1" applyFont="1" applyFill="1" applyBorder="1" applyAlignment="1">
      <alignment horizontal="center" vertical="center"/>
    </xf>
    <xf numFmtId="164" fontId="12" fillId="9" borderId="57" xfId="1" applyFont="1" applyFill="1" applyBorder="1" applyAlignment="1">
      <alignment horizontal="center" vertical="center"/>
    </xf>
    <xf numFmtId="164" fontId="12" fillId="0" borderId="50" xfId="1" applyFont="1" applyBorder="1" applyAlignment="1">
      <alignment horizontal="center" vertical="center"/>
    </xf>
    <xf numFmtId="164" fontId="12" fillId="0" borderId="48" xfId="1" applyFont="1" applyBorder="1" applyAlignment="1">
      <alignment horizontal="center" vertical="center"/>
    </xf>
    <xf numFmtId="164" fontId="12" fillId="9" borderId="52" xfId="1" applyFont="1" applyFill="1" applyBorder="1" applyAlignment="1">
      <alignment horizontal="center"/>
    </xf>
    <xf numFmtId="164" fontId="12" fillId="9" borderId="53" xfId="1" applyFont="1" applyFill="1" applyBorder="1" applyAlignment="1">
      <alignment horizontal="center"/>
    </xf>
    <xf numFmtId="164" fontId="12" fillId="9" borderId="54" xfId="1" applyFont="1" applyFill="1" applyBorder="1" applyAlignment="1">
      <alignment horizontal="center"/>
    </xf>
    <xf numFmtId="164" fontId="12" fillId="9" borderId="55" xfId="1" applyFont="1" applyFill="1" applyBorder="1" applyAlignment="1">
      <alignment horizontal="center"/>
    </xf>
    <xf numFmtId="164" fontId="12" fillId="9" borderId="56" xfId="1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4" fontId="14" fillId="0" borderId="1" xfId="1" applyFont="1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12" fillId="0" borderId="70" xfId="0" applyFont="1" applyBorder="1" applyAlignment="1">
      <alignment horizontal="center"/>
    </xf>
    <xf numFmtId="0" fontId="0" fillId="0" borderId="0" xfId="0" applyBorder="1"/>
    <xf numFmtId="0" fontId="0" fillId="0" borderId="71" xfId="0" applyBorder="1"/>
    <xf numFmtId="0" fontId="14" fillId="0" borderId="72" xfId="0" applyFont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14" fontId="14" fillId="0" borderId="72" xfId="0" applyNumberFormat="1" applyFont="1" applyBorder="1"/>
    <xf numFmtId="164" fontId="14" fillId="0" borderId="73" xfId="1" applyFont="1" applyBorder="1"/>
    <xf numFmtId="0" fontId="14" fillId="0" borderId="72" xfId="0" applyFont="1" applyBorder="1" applyAlignment="1">
      <alignment horizontal="center" vertical="center"/>
    </xf>
    <xf numFmtId="0" fontId="14" fillId="0" borderId="74" xfId="0" applyFont="1" applyBorder="1" applyAlignment="1">
      <alignment horizontal="center" vertical="center"/>
    </xf>
    <xf numFmtId="164" fontId="14" fillId="0" borderId="75" xfId="1" applyFont="1" applyBorder="1"/>
    <xf numFmtId="164" fontId="14" fillId="0" borderId="76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7"/>
  <sheetViews>
    <sheetView rightToLeft="1" workbookViewId="0">
      <selection activeCell="C4" sqref="C4"/>
    </sheetView>
  </sheetViews>
  <sheetFormatPr defaultRowHeight="15" x14ac:dyDescent="0.25"/>
  <cols>
    <col min="2" max="2" width="12.42578125" bestFit="1" customWidth="1"/>
    <col min="3" max="3" width="17.5703125" bestFit="1" customWidth="1"/>
    <col min="4" max="4" width="18.42578125" bestFit="1" customWidth="1"/>
    <col min="5" max="5" width="16.7109375" bestFit="1" customWidth="1"/>
    <col min="6" max="6" width="16.85546875" bestFit="1" customWidth="1"/>
  </cols>
  <sheetData>
    <row r="2" spans="2:6" s="63" customFormat="1" ht="23.25" customHeight="1" x14ac:dyDescent="0.25">
      <c r="B2" s="62" t="s">
        <v>4</v>
      </c>
      <c r="C2" s="62" t="s">
        <v>64</v>
      </c>
      <c r="D2" s="62" t="s">
        <v>66</v>
      </c>
      <c r="E2" s="62" t="s">
        <v>65</v>
      </c>
      <c r="F2" s="62" t="s">
        <v>67</v>
      </c>
    </row>
    <row r="3" spans="2:6" x14ac:dyDescent="0.25">
      <c r="B3" s="60">
        <v>45108</v>
      </c>
      <c r="C3" s="16">
        <v>100</v>
      </c>
      <c r="D3" s="16"/>
      <c r="E3" s="16" t="s">
        <v>123</v>
      </c>
      <c r="F3" s="16"/>
    </row>
    <row r="4" spans="2:6" x14ac:dyDescent="0.25">
      <c r="B4" s="60">
        <v>45109</v>
      </c>
      <c r="C4" s="16"/>
      <c r="D4" s="16"/>
      <c r="E4" s="16"/>
      <c r="F4" s="16"/>
    </row>
    <row r="5" spans="2:6" x14ac:dyDescent="0.25">
      <c r="B5" s="60">
        <v>45110</v>
      </c>
      <c r="C5" s="16"/>
      <c r="D5" s="16"/>
      <c r="E5" s="16"/>
      <c r="F5" s="16"/>
    </row>
    <row r="6" spans="2:6" x14ac:dyDescent="0.25">
      <c r="B6" s="60">
        <v>45111</v>
      </c>
      <c r="C6" s="16"/>
      <c r="D6" s="16"/>
      <c r="E6" s="16"/>
      <c r="F6" s="16"/>
    </row>
    <row r="7" spans="2:6" x14ac:dyDescent="0.25">
      <c r="B7" s="60">
        <v>45112</v>
      </c>
      <c r="C7" s="16"/>
      <c r="D7" s="16"/>
      <c r="E7" s="16"/>
      <c r="F7" s="16"/>
    </row>
    <row r="8" spans="2:6" x14ac:dyDescent="0.25">
      <c r="B8" s="60">
        <v>45113</v>
      </c>
      <c r="C8" s="16"/>
      <c r="D8" s="16"/>
      <c r="E8" s="16"/>
      <c r="F8" s="16"/>
    </row>
    <row r="9" spans="2:6" x14ac:dyDescent="0.25">
      <c r="B9" s="60">
        <v>45114</v>
      </c>
      <c r="C9" s="16"/>
      <c r="D9" s="16"/>
      <c r="E9" s="16"/>
      <c r="F9" s="16"/>
    </row>
    <row r="10" spans="2:6" x14ac:dyDescent="0.25">
      <c r="B10" s="60">
        <v>45115</v>
      </c>
      <c r="C10" s="16"/>
      <c r="D10" s="16"/>
      <c r="E10" s="16"/>
      <c r="F10" s="16"/>
    </row>
    <row r="11" spans="2:6" x14ac:dyDescent="0.25">
      <c r="B11" s="60">
        <v>45116</v>
      </c>
      <c r="C11" s="16"/>
      <c r="D11" s="16"/>
      <c r="E11" s="16"/>
      <c r="F11" s="16"/>
    </row>
    <row r="12" spans="2:6" x14ac:dyDescent="0.25">
      <c r="B12" s="60">
        <v>45117</v>
      </c>
      <c r="C12" s="16"/>
      <c r="D12" s="16"/>
      <c r="E12" s="16"/>
      <c r="F12" s="16"/>
    </row>
    <row r="13" spans="2:6" x14ac:dyDescent="0.25">
      <c r="B13" s="60">
        <v>45118</v>
      </c>
      <c r="C13" s="16"/>
      <c r="D13" s="16"/>
      <c r="E13" s="16"/>
      <c r="F13" s="16"/>
    </row>
    <row r="14" spans="2:6" x14ac:dyDescent="0.25">
      <c r="B14" s="60">
        <v>45119</v>
      </c>
      <c r="C14" s="16"/>
      <c r="D14" s="16"/>
      <c r="E14" s="16"/>
      <c r="F14" s="16"/>
    </row>
    <row r="15" spans="2:6" x14ac:dyDescent="0.25">
      <c r="B15" s="60">
        <v>45120</v>
      </c>
      <c r="C15" s="16"/>
      <c r="D15" s="16"/>
      <c r="E15" s="16"/>
      <c r="F15" s="16"/>
    </row>
    <row r="16" spans="2:6" x14ac:dyDescent="0.25">
      <c r="B16" s="16"/>
      <c r="C16" s="16"/>
      <c r="D16" s="16"/>
      <c r="E16" s="16"/>
      <c r="F16" s="16"/>
    </row>
    <row r="17" spans="2:6" x14ac:dyDescent="0.25">
      <c r="B17" s="16"/>
      <c r="C17" s="16"/>
      <c r="D17" s="16"/>
      <c r="E17" s="16"/>
      <c r="F17" s="16"/>
    </row>
    <row r="18" spans="2:6" x14ac:dyDescent="0.25">
      <c r="B18" s="16"/>
      <c r="C18" s="16"/>
      <c r="D18" s="16"/>
      <c r="E18" s="16"/>
      <c r="F18" s="16"/>
    </row>
    <row r="19" spans="2:6" x14ac:dyDescent="0.25">
      <c r="B19" s="16"/>
      <c r="C19" s="16"/>
      <c r="D19" s="16"/>
      <c r="E19" s="16"/>
      <c r="F19" s="16"/>
    </row>
    <row r="20" spans="2:6" x14ac:dyDescent="0.25">
      <c r="B20" s="16"/>
      <c r="C20" s="16"/>
      <c r="D20" s="16"/>
      <c r="E20" s="16"/>
      <c r="F20" s="16"/>
    </row>
    <row r="21" spans="2:6" x14ac:dyDescent="0.25">
      <c r="B21" s="16"/>
      <c r="C21" s="16"/>
      <c r="D21" s="16"/>
      <c r="E21" s="16"/>
      <c r="F21" s="16"/>
    </row>
    <row r="22" spans="2:6" x14ac:dyDescent="0.25">
      <c r="B22" s="16"/>
      <c r="C22" s="16"/>
      <c r="D22" s="16"/>
      <c r="E22" s="16"/>
      <c r="F22" s="16"/>
    </row>
    <row r="23" spans="2:6" x14ac:dyDescent="0.25">
      <c r="B23" s="16"/>
      <c r="C23" s="16"/>
      <c r="D23" s="16"/>
      <c r="E23" s="16"/>
      <c r="F23" s="16"/>
    </row>
    <row r="24" spans="2:6" x14ac:dyDescent="0.25">
      <c r="B24" s="16"/>
      <c r="C24" s="16"/>
      <c r="D24" s="16"/>
      <c r="E24" s="16"/>
      <c r="F24" s="16"/>
    </row>
    <row r="25" spans="2:6" x14ac:dyDescent="0.25">
      <c r="B25" s="16"/>
      <c r="C25" s="16"/>
      <c r="D25" s="16"/>
      <c r="E25" s="16"/>
      <c r="F25" s="16"/>
    </row>
    <row r="26" spans="2:6" x14ac:dyDescent="0.25">
      <c r="B26" s="16"/>
      <c r="C26" s="16"/>
      <c r="D26" s="16"/>
      <c r="E26" s="16"/>
      <c r="F26" s="16"/>
    </row>
    <row r="27" spans="2:6" x14ac:dyDescent="0.25">
      <c r="B27" s="16"/>
      <c r="C27" s="16"/>
      <c r="D27" s="16"/>
      <c r="E27" s="16"/>
      <c r="F27" s="16"/>
    </row>
  </sheetData>
  <autoFilter ref="B2:F15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38" zoomScale="60" zoomScaleNormal="60" workbookViewId="0">
      <selection activeCell="D11" sqref="D11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3" width="13.5703125" customWidth="1"/>
    <col min="14" max="14" width="15" bestFit="1" customWidth="1"/>
    <col min="15" max="15" width="18.85546875" bestFit="1" customWidth="1"/>
    <col min="16" max="16" width="18.7109375" bestFit="1" customWidth="1"/>
    <col min="17" max="17" width="10.5703125" customWidth="1"/>
    <col min="18" max="18" width="18.42578125" bestFit="1" customWidth="1"/>
    <col min="19" max="19" width="10.42578125" bestFit="1" customWidth="1"/>
    <col min="20" max="20" width="12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45116</v>
      </c>
      <c r="B4" s="7"/>
      <c r="C4" s="7" t="s">
        <v>14</v>
      </c>
      <c r="D4" s="7">
        <v>862</v>
      </c>
      <c r="E4" s="7" t="s">
        <v>169</v>
      </c>
      <c r="F4" s="7">
        <f>SUM(G4:T4)</f>
        <v>10</v>
      </c>
      <c r="G4" s="7"/>
      <c r="H4" s="90"/>
      <c r="I4" s="7"/>
      <c r="J4" s="7"/>
      <c r="K4" s="7"/>
      <c r="L4" s="7"/>
      <c r="M4" s="7"/>
      <c r="N4" s="7">
        <v>10</v>
      </c>
      <c r="O4" s="7"/>
      <c r="P4" s="7"/>
      <c r="Q4" s="7"/>
      <c r="R4" s="7"/>
      <c r="S4" s="7"/>
      <c r="T4" s="7"/>
    </row>
    <row r="5" spans="1:20" ht="25.5" customHeight="1" x14ac:dyDescent="0.25">
      <c r="A5" s="68">
        <v>45116</v>
      </c>
      <c r="B5" s="7"/>
      <c r="C5" s="7" t="s">
        <v>15</v>
      </c>
      <c r="D5" s="7">
        <v>2723</v>
      </c>
      <c r="E5" s="7" t="s">
        <v>124</v>
      </c>
      <c r="F5" s="7">
        <f t="shared" ref="F5:F38" si="0">SUM(G5:T5)</f>
        <v>50</v>
      </c>
      <c r="G5" s="7"/>
      <c r="H5" s="90"/>
      <c r="I5" s="7"/>
      <c r="J5" s="7"/>
      <c r="K5" s="7"/>
      <c r="L5" s="7"/>
      <c r="M5" s="7">
        <v>50</v>
      </c>
      <c r="N5" s="7"/>
      <c r="O5" s="7"/>
      <c r="P5" s="7"/>
      <c r="Q5" s="7"/>
      <c r="R5" s="7"/>
      <c r="S5" s="7"/>
      <c r="T5" s="7"/>
    </row>
    <row r="6" spans="1:20" ht="25.5" customHeight="1" x14ac:dyDescent="0.25">
      <c r="A6" s="68">
        <v>45116</v>
      </c>
      <c r="B6" s="7"/>
      <c r="C6" s="7" t="s">
        <v>16</v>
      </c>
      <c r="D6" s="7">
        <v>0</v>
      </c>
      <c r="E6" s="7" t="s">
        <v>170</v>
      </c>
      <c r="F6" s="7">
        <f t="shared" si="0"/>
        <v>15</v>
      </c>
      <c r="G6" s="7"/>
      <c r="H6" s="90">
        <v>15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45116</v>
      </c>
      <c r="B7" s="7"/>
      <c r="C7" s="7" t="s">
        <v>17</v>
      </c>
      <c r="D7" s="7">
        <v>181</v>
      </c>
      <c r="E7" s="7" t="s">
        <v>171</v>
      </c>
      <c r="F7" s="7">
        <f t="shared" si="0"/>
        <v>400</v>
      </c>
      <c r="G7" s="7"/>
      <c r="H7" s="90"/>
      <c r="I7" s="7"/>
      <c r="J7" s="7"/>
      <c r="K7" s="7"/>
      <c r="L7" s="7"/>
      <c r="M7" s="7"/>
      <c r="N7" s="7"/>
      <c r="O7" s="7"/>
      <c r="P7" s="7"/>
      <c r="Q7" s="7"/>
      <c r="R7" s="7">
        <v>400</v>
      </c>
      <c r="S7" s="7"/>
      <c r="T7" s="7"/>
    </row>
    <row r="8" spans="1:20" ht="25.5" customHeight="1" x14ac:dyDescent="0.25">
      <c r="A8" s="68">
        <v>45116</v>
      </c>
      <c r="B8" s="7"/>
      <c r="C8" s="7" t="s">
        <v>18</v>
      </c>
      <c r="D8" s="7">
        <f>50+112+20</f>
        <v>182</v>
      </c>
      <c r="E8" s="7" t="s">
        <v>12</v>
      </c>
      <c r="F8" s="7">
        <f t="shared" si="0"/>
        <v>225</v>
      </c>
      <c r="G8" s="7"/>
      <c r="H8" s="90"/>
      <c r="I8" s="7"/>
      <c r="J8" s="7"/>
      <c r="K8" s="7"/>
      <c r="L8" s="7">
        <f>180+45</f>
        <v>225</v>
      </c>
      <c r="M8" s="7"/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45116</v>
      </c>
      <c r="B9" s="7"/>
      <c r="C9" s="7" t="s">
        <v>30</v>
      </c>
      <c r="D9" s="7">
        <v>0</v>
      </c>
      <c r="E9" s="7" t="s">
        <v>172</v>
      </c>
      <c r="F9" s="7">
        <f t="shared" si="0"/>
        <v>300</v>
      </c>
      <c r="G9" s="7"/>
      <c r="H9" s="90"/>
      <c r="I9" s="7"/>
      <c r="J9" s="7"/>
      <c r="K9" s="7"/>
      <c r="L9" s="7"/>
      <c r="M9" s="7"/>
      <c r="N9" s="7">
        <v>300</v>
      </c>
      <c r="O9" s="7"/>
      <c r="P9" s="7"/>
      <c r="Q9" s="7"/>
      <c r="R9" s="7"/>
      <c r="S9" s="7"/>
      <c r="T9" s="7"/>
    </row>
    <row r="10" spans="1:20" ht="25.5" customHeight="1" x14ac:dyDescent="0.25">
      <c r="A10" s="68">
        <v>45116</v>
      </c>
      <c r="B10" s="7"/>
      <c r="C10" s="7" t="s">
        <v>46</v>
      </c>
      <c r="D10" s="7">
        <v>0</v>
      </c>
      <c r="E10" s="7" t="s">
        <v>173</v>
      </c>
      <c r="F10" s="7">
        <f t="shared" si="0"/>
        <v>55</v>
      </c>
      <c r="G10" s="7"/>
      <c r="H10" s="90">
        <v>55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45116</v>
      </c>
      <c r="B11" s="7"/>
      <c r="C11" s="7"/>
      <c r="D11" s="7"/>
      <c r="E11" s="7" t="s">
        <v>83</v>
      </c>
      <c r="F11" s="7">
        <f t="shared" si="0"/>
        <v>5</v>
      </c>
      <c r="G11" s="7"/>
      <c r="H11" s="90"/>
      <c r="I11" s="7"/>
      <c r="J11" s="7"/>
      <c r="K11" s="7"/>
      <c r="L11" s="7"/>
      <c r="M11" s="7"/>
      <c r="N11" s="7"/>
      <c r="O11" s="7"/>
      <c r="P11" s="7">
        <v>5</v>
      </c>
      <c r="Q11" s="7"/>
      <c r="R11" s="7"/>
      <c r="S11" s="7"/>
      <c r="T11" s="7"/>
    </row>
    <row r="12" spans="1:20" ht="25.5" customHeight="1" x14ac:dyDescent="0.25">
      <c r="A12" s="68">
        <v>45116</v>
      </c>
      <c r="B12" s="7"/>
      <c r="C12" s="7"/>
      <c r="D12" s="7"/>
      <c r="E12" s="7" t="s">
        <v>174</v>
      </c>
      <c r="F12" s="7">
        <f t="shared" si="0"/>
        <v>255</v>
      </c>
      <c r="G12" s="7"/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>
        <v>255</v>
      </c>
    </row>
    <row r="13" spans="1:20" ht="25.5" customHeight="1" x14ac:dyDescent="0.25">
      <c r="A13" s="68">
        <v>45116</v>
      </c>
      <c r="B13" s="7"/>
      <c r="C13" s="7"/>
      <c r="D13" s="7"/>
      <c r="E13" s="7" t="s">
        <v>87</v>
      </c>
      <c r="F13" s="7">
        <f t="shared" si="0"/>
        <v>150</v>
      </c>
      <c r="G13" s="7">
        <v>150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45116</v>
      </c>
      <c r="B14" s="7"/>
      <c r="C14" s="7"/>
      <c r="D14" s="7"/>
      <c r="E14" s="7" t="s">
        <v>86</v>
      </c>
      <c r="F14" s="7">
        <f t="shared" si="0"/>
        <v>170</v>
      </c>
      <c r="G14" s="7">
        <v>170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45116</v>
      </c>
      <c r="B15" s="7"/>
      <c r="C15" s="7"/>
      <c r="D15" s="7"/>
      <c r="E15" s="7" t="s">
        <v>158</v>
      </c>
      <c r="F15" s="7">
        <f t="shared" si="0"/>
        <v>50</v>
      </c>
      <c r="G15" s="7">
        <v>50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45116</v>
      </c>
      <c r="B16" s="7"/>
      <c r="C16" s="7"/>
      <c r="D16" s="7"/>
      <c r="E16" s="7" t="s">
        <v>103</v>
      </c>
      <c r="F16" s="7">
        <f t="shared" si="0"/>
        <v>160</v>
      </c>
      <c r="G16" s="7">
        <v>160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45116</v>
      </c>
      <c r="B17" s="7"/>
      <c r="C17" s="7"/>
      <c r="D17" s="7"/>
      <c r="E17" s="7" t="s">
        <v>88</v>
      </c>
      <c r="F17" s="7">
        <f t="shared" si="0"/>
        <v>160</v>
      </c>
      <c r="G17" s="7">
        <v>160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45116</v>
      </c>
      <c r="B18" s="7"/>
      <c r="C18" s="7"/>
      <c r="D18" s="7"/>
      <c r="E18" s="7" t="s">
        <v>130</v>
      </c>
      <c r="F18" s="7">
        <f t="shared" si="0"/>
        <v>150</v>
      </c>
      <c r="G18" s="7">
        <v>150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45116</v>
      </c>
      <c r="B19" s="7"/>
      <c r="C19" s="7"/>
      <c r="D19" s="7"/>
      <c r="E19" s="7" t="s">
        <v>91</v>
      </c>
      <c r="F19" s="7">
        <f t="shared" si="0"/>
        <v>200</v>
      </c>
      <c r="G19" s="7">
        <v>200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45116</v>
      </c>
      <c r="B20" s="7"/>
      <c r="C20" s="7"/>
      <c r="D20" s="7"/>
      <c r="E20" s="7" t="s">
        <v>92</v>
      </c>
      <c r="F20" s="7">
        <f t="shared" si="0"/>
        <v>100</v>
      </c>
      <c r="G20" s="7">
        <v>100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45116</v>
      </c>
      <c r="B21" s="7"/>
      <c r="C21" s="7"/>
      <c r="D21" s="7"/>
      <c r="E21" s="7" t="s">
        <v>98</v>
      </c>
      <c r="F21" s="7">
        <v>100</v>
      </c>
      <c r="G21" s="7">
        <v>120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45116</v>
      </c>
      <c r="B22" s="7"/>
      <c r="C22" s="7"/>
      <c r="D22" s="7"/>
      <c r="E22" s="7" t="s">
        <v>107</v>
      </c>
      <c r="F22" s="7">
        <f t="shared" si="0"/>
        <v>30</v>
      </c>
      <c r="G22" s="7">
        <v>30</v>
      </c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45116</v>
      </c>
      <c r="B23" s="7"/>
      <c r="C23" s="7"/>
      <c r="D23" s="7"/>
      <c r="E23" s="7" t="s">
        <v>96</v>
      </c>
      <c r="F23" s="7">
        <f t="shared" si="0"/>
        <v>170</v>
      </c>
      <c r="G23" s="7">
        <v>170</v>
      </c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>
        <v>45116</v>
      </c>
      <c r="B24" s="7"/>
      <c r="C24" s="7"/>
      <c r="D24" s="7"/>
      <c r="E24" s="7" t="s">
        <v>93</v>
      </c>
      <c r="F24" s="7">
        <f t="shared" si="0"/>
        <v>50</v>
      </c>
      <c r="G24" s="7">
        <v>50</v>
      </c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>
        <v>45116</v>
      </c>
      <c r="B25" s="7"/>
      <c r="C25" s="7"/>
      <c r="D25" s="7"/>
      <c r="E25" s="7" t="s">
        <v>99</v>
      </c>
      <c r="F25" s="7">
        <f t="shared" si="0"/>
        <v>150</v>
      </c>
      <c r="G25" s="7">
        <v>150</v>
      </c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>
        <v>45116</v>
      </c>
      <c r="B26" s="7"/>
      <c r="C26" s="7"/>
      <c r="D26" s="7"/>
      <c r="E26" s="7" t="s">
        <v>106</v>
      </c>
      <c r="F26" s="7">
        <f t="shared" si="0"/>
        <v>50</v>
      </c>
      <c r="G26" s="7">
        <v>50</v>
      </c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>
        <v>45116</v>
      </c>
      <c r="B27" s="7"/>
      <c r="C27" s="7"/>
      <c r="D27" s="7"/>
      <c r="E27" s="7" t="s">
        <v>175</v>
      </c>
      <c r="F27" s="7">
        <f t="shared" si="0"/>
        <v>100</v>
      </c>
      <c r="G27" s="7">
        <v>100</v>
      </c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>
        <v>45116</v>
      </c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3948</v>
      </c>
      <c r="E39" s="119"/>
      <c r="F39" s="7">
        <f>SUM(F4:F38)</f>
        <v>3105</v>
      </c>
      <c r="G39" s="7">
        <f t="shared" ref="G39:T39" si="1">SUM(G4:G38)</f>
        <v>1810</v>
      </c>
      <c r="H39" s="90">
        <f t="shared" si="1"/>
        <v>70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225</v>
      </c>
      <c r="M39" s="7">
        <f t="shared" si="1"/>
        <v>50</v>
      </c>
      <c r="N39" s="7">
        <f t="shared" si="1"/>
        <v>310</v>
      </c>
      <c r="O39" s="7">
        <f t="shared" si="1"/>
        <v>0</v>
      </c>
      <c r="P39" s="7">
        <f t="shared" si="1"/>
        <v>5</v>
      </c>
      <c r="Q39" s="7">
        <f t="shared" si="1"/>
        <v>0</v>
      </c>
      <c r="R39" s="7">
        <f t="shared" si="1"/>
        <v>400</v>
      </c>
      <c r="S39" s="7">
        <f t="shared" si="1"/>
        <v>0</v>
      </c>
      <c r="T39" s="7">
        <f t="shared" si="1"/>
        <v>255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3948</v>
      </c>
      <c r="C42" s="8"/>
      <c r="E42" s="6">
        <v>200</v>
      </c>
      <c r="F42" s="7">
        <v>2</v>
      </c>
      <c r="G42" s="8">
        <f t="shared" ref="G42:G48" si="2">+E42*F42</f>
        <v>400</v>
      </c>
    </row>
    <row r="43" spans="1:20" ht="46.5" customHeight="1" x14ac:dyDescent="0.25">
      <c r="A43" s="10" t="s">
        <v>20</v>
      </c>
      <c r="B43" s="7">
        <f>D8</f>
        <v>182</v>
      </c>
      <c r="C43" s="8"/>
      <c r="E43" s="6">
        <v>100</v>
      </c>
      <c r="F43" s="7">
        <v>2</v>
      </c>
      <c r="G43" s="8">
        <f t="shared" si="2"/>
        <v>200</v>
      </c>
    </row>
    <row r="44" spans="1:20" ht="46.5" customHeight="1" x14ac:dyDescent="0.25">
      <c r="A44" s="10" t="s">
        <v>21</v>
      </c>
      <c r="B44" s="7">
        <f>F39</f>
        <v>3105</v>
      </c>
      <c r="C44" s="8"/>
      <c r="E44" s="6">
        <v>50</v>
      </c>
      <c r="F44" s="7"/>
      <c r="G44" s="8">
        <f t="shared" si="2"/>
        <v>0</v>
      </c>
    </row>
    <row r="45" spans="1:20" ht="51.75" customHeight="1" x14ac:dyDescent="0.25">
      <c r="A45" s="10" t="s">
        <v>22</v>
      </c>
      <c r="B45" s="12">
        <f>+B42-B43-B44</f>
        <v>661</v>
      </c>
      <c r="C45" s="13"/>
      <c r="E45" s="6">
        <v>20</v>
      </c>
      <c r="F45" s="7">
        <v>1</v>
      </c>
      <c r="G45" s="8">
        <f t="shared" si="2"/>
        <v>20</v>
      </c>
    </row>
    <row r="46" spans="1:20" ht="46.5" customHeight="1" x14ac:dyDescent="0.25">
      <c r="A46" s="10" t="s">
        <v>23</v>
      </c>
      <c r="B46" s="12">
        <f>G49</f>
        <v>661</v>
      </c>
      <c r="C46" s="13"/>
      <c r="D46" s="1"/>
      <c r="E46" s="6">
        <v>10</v>
      </c>
      <c r="F46" s="7"/>
      <c r="G46" s="8">
        <f t="shared" si="2"/>
        <v>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8</v>
      </c>
      <c r="G47" s="8">
        <f t="shared" si="2"/>
        <v>40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1</v>
      </c>
      <c r="G48" s="8">
        <f t="shared" si="2"/>
        <v>1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661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5" right="0.25" top="0.75" bottom="0.75" header="0.3" footer="0.3"/>
  <pageSetup paperSize="9" scale="3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3" zoomScale="70" zoomScaleNormal="70" workbookViewId="0">
      <selection activeCell="L45" sqref="L45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31.7109375" bestFit="1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45117</v>
      </c>
      <c r="B4" s="7"/>
      <c r="C4" s="7" t="s">
        <v>14</v>
      </c>
      <c r="D4" s="7">
        <v>695</v>
      </c>
      <c r="E4" s="7" t="s">
        <v>163</v>
      </c>
      <c r="F4" s="7">
        <f>SUM(G4:T4)</f>
        <v>55</v>
      </c>
      <c r="G4" s="7"/>
      <c r="H4" s="90">
        <v>55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45117</v>
      </c>
      <c r="B5" s="7"/>
      <c r="C5" s="7" t="s">
        <v>15</v>
      </c>
      <c r="D5" s="7">
        <v>3260</v>
      </c>
      <c r="E5" s="7" t="s">
        <v>83</v>
      </c>
      <c r="F5" s="7">
        <f t="shared" ref="F5:F38" si="0">SUM(G5:T5)</f>
        <v>15</v>
      </c>
      <c r="G5" s="7"/>
      <c r="H5" s="90"/>
      <c r="I5" s="7"/>
      <c r="J5" s="7"/>
      <c r="K5" s="7"/>
      <c r="L5" s="7"/>
      <c r="M5" s="7"/>
      <c r="N5" s="7"/>
      <c r="O5" s="7"/>
      <c r="P5" s="7">
        <f>5+10</f>
        <v>15</v>
      </c>
      <c r="Q5" s="7"/>
      <c r="R5" s="7"/>
      <c r="S5" s="7"/>
      <c r="T5" s="7"/>
    </row>
    <row r="6" spans="1:20" ht="25.5" customHeight="1" x14ac:dyDescent="0.25">
      <c r="A6" s="68">
        <v>45117</v>
      </c>
      <c r="B6" s="7"/>
      <c r="C6" s="7" t="s">
        <v>16</v>
      </c>
      <c r="D6" s="7">
        <v>0</v>
      </c>
      <c r="E6" s="7" t="s">
        <v>125</v>
      </c>
      <c r="F6" s="7">
        <f t="shared" si="0"/>
        <v>113</v>
      </c>
      <c r="G6" s="7"/>
      <c r="H6" s="90"/>
      <c r="I6" s="7"/>
      <c r="J6" s="7"/>
      <c r="K6" s="7"/>
      <c r="L6" s="7">
        <f>90+23</f>
        <v>113</v>
      </c>
      <c r="M6" s="7"/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45117</v>
      </c>
      <c r="B7" s="7"/>
      <c r="C7" s="7" t="s">
        <v>17</v>
      </c>
      <c r="D7" s="7">
        <v>45</v>
      </c>
      <c r="E7" s="7" t="s">
        <v>177</v>
      </c>
      <c r="F7" s="7">
        <f>SUM(G7:T7)</f>
        <v>100</v>
      </c>
      <c r="G7" s="7"/>
      <c r="H7" s="90"/>
      <c r="I7" s="7"/>
      <c r="J7" s="7"/>
      <c r="K7" s="7"/>
      <c r="L7" s="7"/>
      <c r="M7" s="7"/>
      <c r="N7" s="7"/>
      <c r="O7" s="7"/>
      <c r="P7" s="7"/>
      <c r="Q7" s="7"/>
      <c r="R7" s="7">
        <v>100</v>
      </c>
      <c r="S7" s="7"/>
      <c r="T7" s="7"/>
    </row>
    <row r="8" spans="1:20" ht="25.5" customHeight="1" x14ac:dyDescent="0.25">
      <c r="A8" s="68">
        <v>45117</v>
      </c>
      <c r="B8" s="7"/>
      <c r="C8" s="7" t="s">
        <v>18</v>
      </c>
      <c r="D8" s="7">
        <f>500+25</f>
        <v>525</v>
      </c>
      <c r="E8" s="7" t="s">
        <v>124</v>
      </c>
      <c r="F8" s="7">
        <f t="shared" si="0"/>
        <v>30</v>
      </c>
      <c r="G8" s="7"/>
      <c r="H8" s="90"/>
      <c r="I8" s="7"/>
      <c r="J8" s="7"/>
      <c r="K8" s="7"/>
      <c r="L8" s="7"/>
      <c r="M8" s="7">
        <v>30</v>
      </c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45117</v>
      </c>
      <c r="B9" s="7"/>
      <c r="C9" s="7" t="s">
        <v>30</v>
      </c>
      <c r="D9" s="7">
        <v>0</v>
      </c>
      <c r="E9" s="92" t="s">
        <v>129</v>
      </c>
      <c r="F9" s="7">
        <f t="shared" si="0"/>
        <v>500</v>
      </c>
      <c r="G9" s="7"/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>
        <v>500</v>
      </c>
    </row>
    <row r="10" spans="1:20" ht="25.5" customHeight="1" x14ac:dyDescent="0.25">
      <c r="A10" s="68">
        <v>45117</v>
      </c>
      <c r="B10" s="7"/>
      <c r="C10" s="7" t="s">
        <v>46</v>
      </c>
      <c r="D10" s="7">
        <v>0</v>
      </c>
      <c r="E10" s="7" t="s">
        <v>178</v>
      </c>
      <c r="F10" s="7">
        <f t="shared" si="0"/>
        <v>170</v>
      </c>
      <c r="G10" s="7">
        <v>170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45117</v>
      </c>
      <c r="B11" s="7"/>
      <c r="C11" s="7"/>
      <c r="D11" s="7"/>
      <c r="E11" s="7" t="s">
        <v>89</v>
      </c>
      <c r="F11" s="7">
        <f t="shared" si="0"/>
        <v>150</v>
      </c>
      <c r="G11" s="7">
        <v>150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45117</v>
      </c>
      <c r="B12" s="7"/>
      <c r="C12" s="7"/>
      <c r="D12" s="7"/>
      <c r="E12" s="7" t="s">
        <v>179</v>
      </c>
      <c r="F12" s="7">
        <f t="shared" si="0"/>
        <v>150</v>
      </c>
      <c r="G12" s="7">
        <v>150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45117</v>
      </c>
      <c r="B13" s="7"/>
      <c r="C13" s="7"/>
      <c r="D13" s="7"/>
      <c r="E13" s="7" t="s">
        <v>180</v>
      </c>
      <c r="F13" s="7">
        <f t="shared" si="0"/>
        <v>160</v>
      </c>
      <c r="G13" s="7">
        <v>160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45117</v>
      </c>
      <c r="B14" s="7"/>
      <c r="C14" s="7"/>
      <c r="D14" s="7"/>
      <c r="E14" s="7" t="s">
        <v>181</v>
      </c>
      <c r="F14" s="7">
        <f t="shared" si="0"/>
        <v>30</v>
      </c>
      <c r="G14" s="7">
        <v>30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45117</v>
      </c>
      <c r="B15" s="7"/>
      <c r="C15" s="7"/>
      <c r="D15" s="7"/>
      <c r="E15" s="7" t="s">
        <v>90</v>
      </c>
      <c r="F15" s="7">
        <f t="shared" si="0"/>
        <v>50</v>
      </c>
      <c r="G15" s="7">
        <v>50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45117</v>
      </c>
      <c r="B16" s="7"/>
      <c r="C16" s="7"/>
      <c r="D16" s="7"/>
      <c r="E16" s="7" t="s">
        <v>103</v>
      </c>
      <c r="F16" s="7">
        <f t="shared" si="0"/>
        <v>160</v>
      </c>
      <c r="G16" s="7">
        <v>160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45117</v>
      </c>
      <c r="B17" s="7"/>
      <c r="C17" s="7"/>
      <c r="D17" s="7"/>
      <c r="E17" s="7" t="s">
        <v>91</v>
      </c>
      <c r="F17" s="7">
        <f t="shared" si="0"/>
        <v>200</v>
      </c>
      <c r="G17" s="7">
        <v>200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45117</v>
      </c>
      <c r="B18" s="7"/>
      <c r="C18" s="7"/>
      <c r="D18" s="7"/>
      <c r="E18" s="7" t="s">
        <v>96</v>
      </c>
      <c r="F18" s="7">
        <f t="shared" si="0"/>
        <v>170</v>
      </c>
      <c r="G18" s="7">
        <v>170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45117</v>
      </c>
      <c r="B19" s="7"/>
      <c r="C19" s="7"/>
      <c r="D19" s="7"/>
      <c r="E19" s="7" t="s">
        <v>99</v>
      </c>
      <c r="F19" s="7">
        <f t="shared" si="0"/>
        <v>150</v>
      </c>
      <c r="G19" s="7">
        <v>150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45117</v>
      </c>
      <c r="B20" s="7"/>
      <c r="C20" s="7"/>
      <c r="D20" s="7"/>
      <c r="E20" s="7" t="s">
        <v>107</v>
      </c>
      <c r="F20" s="7">
        <f t="shared" si="0"/>
        <v>30</v>
      </c>
      <c r="G20" s="7">
        <v>30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45117</v>
      </c>
      <c r="B21" s="7"/>
      <c r="C21" s="7"/>
      <c r="D21" s="7"/>
      <c r="E21" s="7" t="s">
        <v>92</v>
      </c>
      <c r="F21" s="7">
        <f t="shared" si="0"/>
        <v>100</v>
      </c>
      <c r="G21" s="7">
        <v>100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45117</v>
      </c>
      <c r="B22" s="7"/>
      <c r="C22" s="7"/>
      <c r="D22" s="7"/>
      <c r="E22" s="7" t="s">
        <v>93</v>
      </c>
      <c r="F22" s="7">
        <f t="shared" si="0"/>
        <v>50</v>
      </c>
      <c r="G22" s="7">
        <v>50</v>
      </c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45117</v>
      </c>
      <c r="B23" s="7"/>
      <c r="C23" s="7"/>
      <c r="D23" s="7"/>
      <c r="E23" s="7" t="s">
        <v>98</v>
      </c>
      <c r="F23" s="7">
        <f t="shared" si="0"/>
        <v>120</v>
      </c>
      <c r="G23" s="7">
        <v>120</v>
      </c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>
        <v>45117</v>
      </c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>
        <v>45117</v>
      </c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>
        <v>45117</v>
      </c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>
        <v>45117</v>
      </c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>
        <v>45117</v>
      </c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>
        <v>45117</v>
      </c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>
        <v>45117</v>
      </c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>
        <v>45117</v>
      </c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>
        <v>45117</v>
      </c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>
        <v>45117</v>
      </c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>
        <v>45117</v>
      </c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>
        <v>45117</v>
      </c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>
        <v>45117</v>
      </c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>
        <v>45117</v>
      </c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>
        <v>45117</v>
      </c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4525</v>
      </c>
      <c r="E39" s="119"/>
      <c r="F39" s="7">
        <f>SUM(F4:F38)</f>
        <v>2503</v>
      </c>
      <c r="G39" s="7">
        <f t="shared" ref="G39:T39" si="1">SUM(G4:G38)</f>
        <v>1690</v>
      </c>
      <c r="H39" s="90">
        <f t="shared" si="1"/>
        <v>55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113</v>
      </c>
      <c r="M39" s="7">
        <f t="shared" si="1"/>
        <v>30</v>
      </c>
      <c r="N39" s="7">
        <f t="shared" si="1"/>
        <v>0</v>
      </c>
      <c r="O39" s="7">
        <f t="shared" si="1"/>
        <v>0</v>
      </c>
      <c r="P39" s="7">
        <f t="shared" si="1"/>
        <v>15</v>
      </c>
      <c r="Q39" s="7">
        <f t="shared" si="1"/>
        <v>0</v>
      </c>
      <c r="R39" s="7">
        <f t="shared" si="1"/>
        <v>100</v>
      </c>
      <c r="S39" s="7">
        <f t="shared" si="1"/>
        <v>0</v>
      </c>
      <c r="T39" s="7">
        <f t="shared" si="1"/>
        <v>500</v>
      </c>
    </row>
    <row r="40" spans="1:20" ht="15.75" thickBot="1" x14ac:dyDescent="0.3">
      <c r="D40" s="25"/>
    </row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4525</v>
      </c>
      <c r="C42" s="8"/>
      <c r="E42" s="6">
        <v>200</v>
      </c>
      <c r="F42" s="7">
        <v>2</v>
      </c>
      <c r="G42" s="8">
        <f t="shared" ref="G42:G48" si="2">+E42*F42</f>
        <v>400</v>
      </c>
    </row>
    <row r="43" spans="1:20" ht="46.5" customHeight="1" x14ac:dyDescent="0.25">
      <c r="A43" s="10" t="s">
        <v>20</v>
      </c>
      <c r="B43" s="7">
        <f>D8</f>
        <v>525</v>
      </c>
      <c r="C43" s="8"/>
      <c r="E43" s="6">
        <v>100</v>
      </c>
      <c r="F43" s="7">
        <v>8</v>
      </c>
      <c r="G43" s="8">
        <f t="shared" si="2"/>
        <v>800</v>
      </c>
    </row>
    <row r="44" spans="1:20" ht="46.5" customHeight="1" x14ac:dyDescent="0.25">
      <c r="A44" s="10" t="s">
        <v>21</v>
      </c>
      <c r="B44" s="7">
        <f>F39</f>
        <v>2503</v>
      </c>
      <c r="C44" s="8"/>
      <c r="E44" s="6">
        <v>50</v>
      </c>
      <c r="F44" s="7">
        <v>5</v>
      </c>
      <c r="G44" s="8">
        <f t="shared" si="2"/>
        <v>250</v>
      </c>
    </row>
    <row r="45" spans="1:20" ht="51.75" customHeight="1" x14ac:dyDescent="0.25">
      <c r="A45" s="10" t="s">
        <v>22</v>
      </c>
      <c r="B45" s="12">
        <f>+B42-B43-B44</f>
        <v>1497</v>
      </c>
      <c r="C45" s="13"/>
      <c r="E45" s="6">
        <v>20</v>
      </c>
      <c r="F45" s="7">
        <v>2</v>
      </c>
      <c r="G45" s="8">
        <f t="shared" si="2"/>
        <v>40</v>
      </c>
    </row>
    <row r="46" spans="1:20" ht="46.5" customHeight="1" x14ac:dyDescent="0.25">
      <c r="A46" s="10" t="s">
        <v>23</v>
      </c>
      <c r="B46" s="12">
        <f>G49</f>
        <v>1497</v>
      </c>
      <c r="C46" s="13"/>
      <c r="D46" s="1"/>
      <c r="E46" s="6">
        <v>10</v>
      </c>
      <c r="F46" s="7"/>
      <c r="G46" s="8">
        <f t="shared" si="2"/>
        <v>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1</v>
      </c>
      <c r="G47" s="8">
        <f t="shared" si="2"/>
        <v>5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2</v>
      </c>
      <c r="G48" s="8">
        <f t="shared" si="2"/>
        <v>2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1497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4" zoomScale="73" zoomScaleNormal="73" workbookViewId="0">
      <selection activeCell="I45" sqref="I45"/>
    </sheetView>
  </sheetViews>
  <sheetFormatPr defaultRowHeight="15" x14ac:dyDescent="0.25"/>
  <cols>
    <col min="1" max="1" width="22.855468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45118</v>
      </c>
      <c r="B4" s="7"/>
      <c r="C4" s="7" t="s">
        <v>14</v>
      </c>
      <c r="D4" s="7">
        <v>1090</v>
      </c>
      <c r="E4" s="7" t="s">
        <v>163</v>
      </c>
      <c r="F4" s="7">
        <f>SUM(G4:T4)</f>
        <v>55</v>
      </c>
      <c r="G4" s="7"/>
      <c r="H4" s="90">
        <v>55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45118</v>
      </c>
      <c r="B5" s="7"/>
      <c r="C5" s="7" t="s">
        <v>15</v>
      </c>
      <c r="D5" s="7">
        <v>2742</v>
      </c>
      <c r="E5" s="7" t="s">
        <v>125</v>
      </c>
      <c r="F5" s="7">
        <f t="shared" ref="F5:F38" si="0">SUM(G5:T5)</f>
        <v>135</v>
      </c>
      <c r="G5" s="7"/>
      <c r="H5" s="90"/>
      <c r="I5" s="7"/>
      <c r="J5" s="7"/>
      <c r="K5" s="7"/>
      <c r="L5" s="7">
        <f>90+45</f>
        <v>135</v>
      </c>
      <c r="M5" s="7"/>
      <c r="N5" s="7"/>
      <c r="O5" s="7"/>
      <c r="P5" s="7"/>
      <c r="Q5" s="7"/>
      <c r="R5" s="7"/>
      <c r="S5" s="7"/>
      <c r="T5" s="7"/>
    </row>
    <row r="6" spans="1:20" ht="25.5" customHeight="1" x14ac:dyDescent="0.25">
      <c r="A6" s="68">
        <v>45118</v>
      </c>
      <c r="B6" s="7"/>
      <c r="C6" s="7" t="s">
        <v>16</v>
      </c>
      <c r="D6" s="7">
        <v>0</v>
      </c>
      <c r="E6" s="7" t="s">
        <v>159</v>
      </c>
      <c r="F6" s="7">
        <f t="shared" si="0"/>
        <v>150</v>
      </c>
      <c r="G6" s="7">
        <v>150</v>
      </c>
      <c r="H6" s="90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45118</v>
      </c>
      <c r="B7" s="7"/>
      <c r="C7" s="7" t="s">
        <v>17</v>
      </c>
      <c r="D7" s="7">
        <v>145</v>
      </c>
      <c r="E7" s="7" t="s">
        <v>86</v>
      </c>
      <c r="F7" s="7">
        <f t="shared" si="0"/>
        <v>170</v>
      </c>
      <c r="G7" s="7">
        <v>170</v>
      </c>
      <c r="H7" s="90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45118</v>
      </c>
      <c r="B8" s="7"/>
      <c r="C8" s="7" t="s">
        <v>18</v>
      </c>
      <c r="D8" s="7">
        <f>90+75+200+20+2000+500+200+180+22</f>
        <v>3287</v>
      </c>
      <c r="E8" s="7" t="s">
        <v>179</v>
      </c>
      <c r="F8" s="7">
        <f t="shared" si="0"/>
        <v>150</v>
      </c>
      <c r="G8" s="7">
        <v>150</v>
      </c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45118</v>
      </c>
      <c r="B9" s="7"/>
      <c r="C9" s="7" t="s">
        <v>30</v>
      </c>
      <c r="D9" s="7">
        <v>0</v>
      </c>
      <c r="E9" s="7" t="s">
        <v>90</v>
      </c>
      <c r="F9" s="7">
        <f t="shared" si="0"/>
        <v>50</v>
      </c>
      <c r="G9" s="7">
        <v>50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45118</v>
      </c>
      <c r="B10" s="7"/>
      <c r="C10" s="7" t="s">
        <v>46</v>
      </c>
      <c r="D10" s="7">
        <v>0</v>
      </c>
      <c r="E10" s="7" t="s">
        <v>88</v>
      </c>
      <c r="F10" s="7">
        <f t="shared" si="0"/>
        <v>160</v>
      </c>
      <c r="G10" s="7">
        <v>160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45118</v>
      </c>
      <c r="B11" s="7"/>
      <c r="C11" s="7"/>
      <c r="D11" s="131"/>
      <c r="E11" s="7" t="s">
        <v>103</v>
      </c>
      <c r="F11" s="7">
        <f t="shared" si="0"/>
        <v>160</v>
      </c>
      <c r="G11" s="7">
        <v>160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45118</v>
      </c>
      <c r="B12" s="7"/>
      <c r="C12" s="7"/>
      <c r="D12" s="131"/>
      <c r="E12" s="7" t="s">
        <v>181</v>
      </c>
      <c r="F12" s="7">
        <f t="shared" si="0"/>
        <v>30</v>
      </c>
      <c r="G12" s="7">
        <v>30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45118</v>
      </c>
      <c r="B13" s="7"/>
      <c r="C13" s="7"/>
      <c r="D13" s="131"/>
      <c r="E13" s="7" t="s">
        <v>182</v>
      </c>
      <c r="F13" s="7">
        <f t="shared" si="0"/>
        <v>200</v>
      </c>
      <c r="G13" s="7">
        <v>200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45118</v>
      </c>
      <c r="B14" s="7"/>
      <c r="C14" s="7"/>
      <c r="D14" s="131"/>
      <c r="E14" s="7" t="s">
        <v>92</v>
      </c>
      <c r="F14" s="7">
        <f t="shared" si="0"/>
        <v>100</v>
      </c>
      <c r="G14" s="7">
        <v>100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45118</v>
      </c>
      <c r="B15" s="7"/>
      <c r="C15" s="7"/>
      <c r="D15" s="131"/>
      <c r="E15" s="7" t="s">
        <v>183</v>
      </c>
      <c r="F15" s="7">
        <f t="shared" si="0"/>
        <v>120</v>
      </c>
      <c r="G15" s="7">
        <v>120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45118</v>
      </c>
      <c r="B16" s="7"/>
      <c r="C16" s="7"/>
      <c r="D16" s="131"/>
      <c r="E16" s="7" t="s">
        <v>184</v>
      </c>
      <c r="F16" s="7">
        <f t="shared" si="0"/>
        <v>170</v>
      </c>
      <c r="G16" s="7">
        <v>170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45118</v>
      </c>
      <c r="B17" s="7"/>
      <c r="C17" s="7"/>
      <c r="D17" s="131"/>
      <c r="E17" s="7" t="s">
        <v>89</v>
      </c>
      <c r="F17" s="7">
        <f t="shared" si="0"/>
        <v>150</v>
      </c>
      <c r="G17" s="7">
        <v>150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45118</v>
      </c>
      <c r="B18" s="7"/>
      <c r="C18" s="7"/>
      <c r="D18" s="131"/>
      <c r="E18" s="7" t="s">
        <v>93</v>
      </c>
      <c r="F18" s="7">
        <f t="shared" si="0"/>
        <v>50</v>
      </c>
      <c r="G18" s="7">
        <v>50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45118</v>
      </c>
      <c r="B19" s="7"/>
      <c r="C19" s="7"/>
      <c r="D19" s="131"/>
      <c r="E19" s="7" t="s">
        <v>107</v>
      </c>
      <c r="F19" s="7">
        <f t="shared" si="0"/>
        <v>30</v>
      </c>
      <c r="G19" s="7">
        <v>30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45118</v>
      </c>
      <c r="B20" s="7"/>
      <c r="C20" s="7"/>
      <c r="D20" s="131"/>
      <c r="E20" s="7"/>
      <c r="F20" s="7">
        <f t="shared" si="0"/>
        <v>0</v>
      </c>
      <c r="G20" s="7"/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45118</v>
      </c>
      <c r="B21" s="7"/>
      <c r="C21" s="7"/>
      <c r="D21" s="131"/>
      <c r="E21" s="7"/>
      <c r="F21" s="7">
        <f t="shared" si="0"/>
        <v>0</v>
      </c>
      <c r="G21" s="7"/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45118</v>
      </c>
      <c r="B22" s="7"/>
      <c r="C22" s="7"/>
      <c r="D22" s="131"/>
      <c r="E22" s="7"/>
      <c r="F22" s="7">
        <f t="shared" si="0"/>
        <v>0</v>
      </c>
      <c r="G22" s="7"/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45118</v>
      </c>
      <c r="B23" s="7"/>
      <c r="C23" s="7"/>
      <c r="D23" s="131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>
        <v>45118</v>
      </c>
      <c r="B24" s="7"/>
      <c r="C24" s="7"/>
      <c r="D24" s="131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>
        <v>45118</v>
      </c>
      <c r="B25" s="7"/>
      <c r="C25" s="7"/>
      <c r="D25" s="131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>
        <v>45118</v>
      </c>
      <c r="B26" s="7"/>
      <c r="C26" s="7"/>
      <c r="D26" s="131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>
        <v>45118</v>
      </c>
      <c r="B27" s="7"/>
      <c r="C27" s="7"/>
      <c r="D27" s="131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>
        <v>45118</v>
      </c>
      <c r="B28" s="7"/>
      <c r="C28" s="7"/>
      <c r="D28" s="131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>
        <v>45118</v>
      </c>
      <c r="B29" s="7"/>
      <c r="C29" s="7"/>
      <c r="D29" s="131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>
        <v>45118</v>
      </c>
      <c r="B30" s="7"/>
      <c r="C30" s="7"/>
      <c r="D30" s="131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>
        <v>45118</v>
      </c>
      <c r="B31" s="7"/>
      <c r="C31" s="7"/>
      <c r="D31" s="131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>
        <v>45118</v>
      </c>
      <c r="B32" s="7"/>
      <c r="C32" s="7"/>
      <c r="D32" s="131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>
        <v>45118</v>
      </c>
      <c r="B33" s="7"/>
      <c r="C33" s="7"/>
      <c r="D33" s="131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>
        <v>45118</v>
      </c>
      <c r="B34" s="7"/>
      <c r="C34" s="7"/>
      <c r="D34" s="131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>
        <v>45118</v>
      </c>
      <c r="B35" s="7"/>
      <c r="C35" s="7"/>
      <c r="D35" s="131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131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131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131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7264</v>
      </c>
      <c r="E39" s="119"/>
      <c r="F39" s="7">
        <f>SUM(F4:F38)</f>
        <v>1880</v>
      </c>
      <c r="G39" s="7">
        <f t="shared" ref="G39:T39" si="1">SUM(G4:G38)</f>
        <v>1690</v>
      </c>
      <c r="H39" s="90">
        <f t="shared" si="1"/>
        <v>55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135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7264</v>
      </c>
      <c r="C42" s="8"/>
      <c r="E42" s="6">
        <v>200</v>
      </c>
      <c r="F42" s="7">
        <v>2</v>
      </c>
      <c r="G42" s="8">
        <f t="shared" ref="G42:G48" si="2">+E42*F42</f>
        <v>400</v>
      </c>
    </row>
    <row r="43" spans="1:20" ht="46.5" customHeight="1" x14ac:dyDescent="0.25">
      <c r="A43" s="10" t="s">
        <v>20</v>
      </c>
      <c r="B43" s="7">
        <f>D8</f>
        <v>3287</v>
      </c>
      <c r="C43" s="8"/>
      <c r="E43" s="6">
        <v>100</v>
      </c>
      <c r="F43" s="7">
        <v>16</v>
      </c>
      <c r="G43" s="8">
        <f t="shared" si="2"/>
        <v>1600</v>
      </c>
    </row>
    <row r="44" spans="1:20" ht="46.5" customHeight="1" x14ac:dyDescent="0.25">
      <c r="A44" s="10" t="s">
        <v>21</v>
      </c>
      <c r="B44" s="7">
        <f>F39</f>
        <v>1880</v>
      </c>
      <c r="C44" s="8"/>
      <c r="E44" s="6">
        <v>50</v>
      </c>
      <c r="F44" s="7">
        <v>1</v>
      </c>
      <c r="G44" s="8">
        <f t="shared" si="2"/>
        <v>50</v>
      </c>
    </row>
    <row r="45" spans="1:20" ht="51.75" customHeight="1" x14ac:dyDescent="0.25">
      <c r="A45" s="10" t="s">
        <v>22</v>
      </c>
      <c r="B45" s="12">
        <f>+B42-B43-B44</f>
        <v>2097</v>
      </c>
      <c r="C45" s="13"/>
      <c r="E45" s="6">
        <v>20</v>
      </c>
      <c r="F45" s="7">
        <v>1</v>
      </c>
      <c r="G45" s="8">
        <f t="shared" si="2"/>
        <v>20</v>
      </c>
    </row>
    <row r="46" spans="1:20" ht="46.5" customHeight="1" x14ac:dyDescent="0.25">
      <c r="A46" s="10" t="s">
        <v>23</v>
      </c>
      <c r="B46" s="12">
        <f>G49</f>
        <v>2097</v>
      </c>
      <c r="C46" s="13"/>
      <c r="D46" s="1"/>
      <c r="E46" s="6">
        <v>10</v>
      </c>
      <c r="F46" s="7">
        <v>2</v>
      </c>
      <c r="G46" s="8">
        <f t="shared" si="2"/>
        <v>20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1</v>
      </c>
      <c r="G47" s="8">
        <f t="shared" si="2"/>
        <v>5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2</v>
      </c>
      <c r="G48" s="8">
        <f t="shared" si="2"/>
        <v>2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2097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3" zoomScale="70" zoomScaleNormal="70" workbookViewId="0">
      <selection activeCell="I45" sqref="I45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/>
      <c r="B4" s="7"/>
      <c r="C4" s="7" t="s">
        <v>14</v>
      </c>
      <c r="D4" s="7">
        <v>1115</v>
      </c>
      <c r="E4" s="7" t="s">
        <v>163</v>
      </c>
      <c r="F4" s="7">
        <f>SUM(G4:T4)</f>
        <v>55</v>
      </c>
      <c r="G4" s="7"/>
      <c r="H4" s="90">
        <v>55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/>
      <c r="B5" s="7"/>
      <c r="C5" s="7" t="s">
        <v>15</v>
      </c>
      <c r="D5" s="7">
        <v>2903</v>
      </c>
      <c r="E5" s="7" t="s">
        <v>126</v>
      </c>
      <c r="F5" s="7">
        <f t="shared" ref="F5:F38" si="0">SUM(G5:T5)</f>
        <v>250</v>
      </c>
      <c r="G5" s="7"/>
      <c r="H5" s="90"/>
      <c r="I5" s="7"/>
      <c r="J5" s="7"/>
      <c r="K5" s="7"/>
      <c r="L5" s="7"/>
      <c r="M5" s="7"/>
      <c r="N5" s="7"/>
      <c r="O5" s="7"/>
      <c r="P5" s="7"/>
      <c r="Q5" s="7"/>
      <c r="R5" s="7">
        <v>250</v>
      </c>
      <c r="S5" s="7"/>
      <c r="T5" s="7"/>
    </row>
    <row r="6" spans="1:20" ht="25.5" customHeight="1" x14ac:dyDescent="0.25">
      <c r="A6" s="68"/>
      <c r="B6" s="7"/>
      <c r="C6" s="7" t="s">
        <v>16</v>
      </c>
      <c r="D6" s="7">
        <v>0</v>
      </c>
      <c r="E6" s="7" t="s">
        <v>12</v>
      </c>
      <c r="F6" s="7">
        <f t="shared" si="0"/>
        <v>218</v>
      </c>
      <c r="G6" s="7"/>
      <c r="H6" s="90"/>
      <c r="I6" s="7"/>
      <c r="J6" s="7"/>
      <c r="K6" s="7"/>
      <c r="L6" s="7">
        <f>90+45+45+38</f>
        <v>218</v>
      </c>
      <c r="M6" s="7"/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/>
      <c r="B7" s="7"/>
      <c r="C7" s="7" t="s">
        <v>17</v>
      </c>
      <c r="D7" s="7">
        <v>312</v>
      </c>
      <c r="E7" s="7" t="s">
        <v>203</v>
      </c>
      <c r="F7" s="7">
        <f t="shared" si="0"/>
        <v>30</v>
      </c>
      <c r="G7" s="7"/>
      <c r="H7" s="90"/>
      <c r="I7" s="7"/>
      <c r="J7" s="7"/>
      <c r="K7" s="7"/>
      <c r="L7" s="7"/>
      <c r="M7" s="7"/>
      <c r="N7" s="7"/>
      <c r="O7" s="7"/>
      <c r="P7" s="7">
        <f>15+15</f>
        <v>30</v>
      </c>
      <c r="Q7" s="7"/>
      <c r="R7" s="7"/>
      <c r="S7" s="7"/>
      <c r="T7" s="7"/>
    </row>
    <row r="8" spans="1:20" ht="25.5" customHeight="1" x14ac:dyDescent="0.25">
      <c r="A8" s="68"/>
      <c r="B8" s="7"/>
      <c r="C8" s="7" t="s">
        <v>18</v>
      </c>
      <c r="D8" s="7">
        <f>25+50+30+30+150</f>
        <v>285</v>
      </c>
      <c r="E8" s="7" t="s">
        <v>204</v>
      </c>
      <c r="F8" s="7">
        <f t="shared" si="0"/>
        <v>540</v>
      </c>
      <c r="G8" s="7"/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>
        <v>540</v>
      </c>
    </row>
    <row r="9" spans="1:20" ht="25.5" customHeight="1" x14ac:dyDescent="0.25">
      <c r="A9" s="68"/>
      <c r="B9" s="7"/>
      <c r="C9" s="7" t="s">
        <v>30</v>
      </c>
      <c r="D9" s="7">
        <v>0</v>
      </c>
      <c r="E9" s="7" t="s">
        <v>92</v>
      </c>
      <c r="F9" s="7">
        <f t="shared" si="0"/>
        <v>100</v>
      </c>
      <c r="G9" s="7">
        <v>100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/>
      <c r="B10" s="7"/>
      <c r="C10" s="7" t="s">
        <v>46</v>
      </c>
      <c r="D10" s="7">
        <v>0</v>
      </c>
      <c r="E10" s="7" t="s">
        <v>86</v>
      </c>
      <c r="F10" s="7">
        <f t="shared" si="0"/>
        <v>170</v>
      </c>
      <c r="G10" s="7">
        <v>170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/>
      <c r="B11" s="7"/>
      <c r="C11" s="7"/>
      <c r="D11" s="7"/>
      <c r="E11" s="7" t="s">
        <v>88</v>
      </c>
      <c r="F11" s="7">
        <f t="shared" si="0"/>
        <v>160</v>
      </c>
      <c r="G11" s="7">
        <v>160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/>
      <c r="B12" s="7"/>
      <c r="C12" s="7"/>
      <c r="D12" s="7"/>
      <c r="E12" s="7" t="s">
        <v>100</v>
      </c>
      <c r="F12" s="7">
        <f t="shared" si="0"/>
        <v>160</v>
      </c>
      <c r="G12" s="7">
        <v>160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/>
      <c r="B13" s="7"/>
      <c r="C13" s="7"/>
      <c r="D13" s="7"/>
      <c r="E13" s="7" t="s">
        <v>96</v>
      </c>
      <c r="F13" s="7">
        <f t="shared" si="0"/>
        <v>170</v>
      </c>
      <c r="G13" s="7">
        <v>170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/>
      <c r="B14" s="7"/>
      <c r="C14" s="7"/>
      <c r="D14" s="7"/>
      <c r="E14" s="7" t="s">
        <v>91</v>
      </c>
      <c r="F14" s="7">
        <f t="shared" si="0"/>
        <v>200</v>
      </c>
      <c r="G14" s="7">
        <v>200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/>
      <c r="B15" s="7"/>
      <c r="C15" s="7"/>
      <c r="D15" s="7"/>
      <c r="E15" s="7" t="s">
        <v>159</v>
      </c>
      <c r="F15" s="7">
        <f t="shared" si="0"/>
        <v>150</v>
      </c>
      <c r="G15" s="7">
        <v>150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/>
      <c r="B16" s="7"/>
      <c r="C16" s="7"/>
      <c r="D16" s="7"/>
      <c r="E16" s="7" t="s">
        <v>98</v>
      </c>
      <c r="F16" s="7">
        <f t="shared" si="0"/>
        <v>120</v>
      </c>
      <c r="G16" s="7">
        <v>120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/>
      <c r="B17" s="7"/>
      <c r="C17" s="7"/>
      <c r="D17" s="7"/>
      <c r="E17" s="7" t="s">
        <v>179</v>
      </c>
      <c r="F17" s="7">
        <f t="shared" si="0"/>
        <v>150</v>
      </c>
      <c r="G17" s="7">
        <v>150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/>
      <c r="B18" s="7"/>
      <c r="C18" s="7"/>
      <c r="D18" s="7"/>
      <c r="E18" s="7" t="s">
        <v>181</v>
      </c>
      <c r="F18" s="7">
        <f t="shared" si="0"/>
        <v>30</v>
      </c>
      <c r="G18" s="7">
        <v>30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/>
      <c r="B19" s="7"/>
      <c r="C19" s="7"/>
      <c r="D19" s="7"/>
      <c r="E19" s="7" t="s">
        <v>107</v>
      </c>
      <c r="F19" s="7">
        <f t="shared" si="0"/>
        <v>30</v>
      </c>
      <c r="G19" s="7">
        <v>30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/>
      <c r="B20" s="7"/>
      <c r="C20" s="7"/>
      <c r="D20" s="7"/>
      <c r="E20" s="7" t="s">
        <v>104</v>
      </c>
      <c r="F20" s="7">
        <f t="shared" si="0"/>
        <v>50</v>
      </c>
      <c r="G20" s="7">
        <v>50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/>
      <c r="B21" s="7"/>
      <c r="C21" s="7"/>
      <c r="D21" s="7"/>
      <c r="E21" s="7" t="s">
        <v>90</v>
      </c>
      <c r="F21" s="7">
        <f t="shared" si="0"/>
        <v>50</v>
      </c>
      <c r="G21" s="7">
        <v>50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/>
      <c r="B22" s="7"/>
      <c r="C22" s="7"/>
      <c r="D22" s="7"/>
      <c r="E22" s="7" t="s">
        <v>89</v>
      </c>
      <c r="F22" s="7">
        <f t="shared" si="0"/>
        <v>150</v>
      </c>
      <c r="G22" s="7">
        <v>150</v>
      </c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/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4615</v>
      </c>
      <c r="E39" s="119"/>
      <c r="F39" s="7">
        <f>SUM(F4:F38)</f>
        <v>2783</v>
      </c>
      <c r="G39" s="7">
        <f t="shared" ref="G39:T39" si="1">SUM(G4:G38)</f>
        <v>1690</v>
      </c>
      <c r="H39" s="90">
        <f t="shared" si="1"/>
        <v>55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218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30</v>
      </c>
      <c r="Q39" s="7">
        <f t="shared" si="1"/>
        <v>0</v>
      </c>
      <c r="R39" s="7">
        <f t="shared" si="1"/>
        <v>250</v>
      </c>
      <c r="S39" s="7">
        <f t="shared" si="1"/>
        <v>0</v>
      </c>
      <c r="T39" s="7">
        <f t="shared" si="1"/>
        <v>540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4615</v>
      </c>
      <c r="C42" s="8"/>
      <c r="E42" s="6">
        <v>200</v>
      </c>
      <c r="F42" s="7">
        <v>5</v>
      </c>
      <c r="G42" s="8">
        <f t="shared" ref="G42:G48" si="2">+E42*F42</f>
        <v>1000</v>
      </c>
    </row>
    <row r="43" spans="1:20" ht="46.5" customHeight="1" x14ac:dyDescent="0.25">
      <c r="A43" s="10" t="s">
        <v>20</v>
      </c>
      <c r="B43" s="7">
        <f>D8</f>
        <v>285</v>
      </c>
      <c r="C43" s="8"/>
      <c r="E43" s="6">
        <v>100</v>
      </c>
      <c r="F43" s="7">
        <v>5</v>
      </c>
      <c r="G43" s="8">
        <f t="shared" si="2"/>
        <v>500</v>
      </c>
    </row>
    <row r="44" spans="1:20" ht="46.5" customHeight="1" x14ac:dyDescent="0.25">
      <c r="A44" s="10" t="s">
        <v>21</v>
      </c>
      <c r="B44" s="7">
        <f>F39</f>
        <v>2783</v>
      </c>
      <c r="C44" s="8"/>
      <c r="E44" s="6">
        <v>50</v>
      </c>
      <c r="F44" s="7"/>
      <c r="G44" s="8">
        <f t="shared" si="2"/>
        <v>0</v>
      </c>
    </row>
    <row r="45" spans="1:20" ht="51.75" customHeight="1" x14ac:dyDescent="0.25">
      <c r="A45" s="10" t="s">
        <v>22</v>
      </c>
      <c r="B45" s="12">
        <f>+B42-B43-B44</f>
        <v>1547</v>
      </c>
      <c r="C45" s="13"/>
      <c r="E45" s="6">
        <v>20</v>
      </c>
      <c r="F45" s="7"/>
      <c r="G45" s="8">
        <f t="shared" si="2"/>
        <v>0</v>
      </c>
    </row>
    <row r="46" spans="1:20" ht="46.5" customHeight="1" x14ac:dyDescent="0.25">
      <c r="A46" s="10" t="s">
        <v>23</v>
      </c>
      <c r="B46" s="12">
        <f>G49</f>
        <v>1547</v>
      </c>
      <c r="C46" s="13"/>
      <c r="D46" s="1"/>
      <c r="E46" s="6">
        <v>10</v>
      </c>
      <c r="F46" s="7">
        <v>2</v>
      </c>
      <c r="G46" s="8">
        <f t="shared" si="2"/>
        <v>20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5</v>
      </c>
      <c r="G47" s="8">
        <f t="shared" si="2"/>
        <v>25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2</v>
      </c>
      <c r="G48" s="8">
        <f t="shared" si="2"/>
        <v>2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1547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38" zoomScale="66" zoomScaleNormal="66" workbookViewId="0">
      <selection activeCell="H45" sqref="H45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45120</v>
      </c>
      <c r="B4" s="7"/>
      <c r="C4" s="7" t="s">
        <v>14</v>
      </c>
      <c r="D4" s="7">
        <f>321+583</f>
        <v>904</v>
      </c>
      <c r="E4" s="7" t="s">
        <v>205</v>
      </c>
      <c r="F4" s="7">
        <f>SUM(G4:T4)</f>
        <v>400</v>
      </c>
      <c r="G4" s="7"/>
      <c r="H4" s="90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>
        <v>400</v>
      </c>
    </row>
    <row r="5" spans="1:20" ht="25.5" customHeight="1" x14ac:dyDescent="0.25">
      <c r="A5" s="68">
        <v>45120</v>
      </c>
      <c r="B5" s="7"/>
      <c r="C5" s="7" t="s">
        <v>15</v>
      </c>
      <c r="D5" s="7">
        <f>768+2651</f>
        <v>3419</v>
      </c>
      <c r="E5" s="7" t="s">
        <v>129</v>
      </c>
      <c r="F5" s="7">
        <f t="shared" ref="F5:F38" si="0">SUM(G5:T5)</f>
        <v>255</v>
      </c>
      <c r="G5" s="7"/>
      <c r="H5" s="9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>
        <v>255</v>
      </c>
    </row>
    <row r="6" spans="1:20" ht="25.5" customHeight="1" x14ac:dyDescent="0.25">
      <c r="A6" s="68">
        <v>45120</v>
      </c>
      <c r="B6" s="7"/>
      <c r="C6" s="7" t="s">
        <v>16</v>
      </c>
      <c r="D6" s="7">
        <v>0</v>
      </c>
      <c r="E6" s="7" t="s">
        <v>206</v>
      </c>
      <c r="F6" s="7">
        <f t="shared" si="0"/>
        <v>10</v>
      </c>
      <c r="G6" s="7"/>
      <c r="H6" s="90"/>
      <c r="I6" s="7"/>
      <c r="J6" s="7"/>
      <c r="K6" s="7"/>
      <c r="L6" s="7"/>
      <c r="M6" s="7"/>
      <c r="N6" s="7">
        <v>10</v>
      </c>
      <c r="O6" s="7"/>
      <c r="P6" s="7"/>
      <c r="Q6" s="7"/>
      <c r="R6" s="7"/>
      <c r="S6" s="7"/>
      <c r="T6" s="7"/>
    </row>
    <row r="7" spans="1:20" ht="25.5" customHeight="1" x14ac:dyDescent="0.25">
      <c r="A7" s="68">
        <v>45120</v>
      </c>
      <c r="B7" s="7"/>
      <c r="C7" s="7" t="s">
        <v>17</v>
      </c>
      <c r="D7" s="7">
        <v>255</v>
      </c>
      <c r="E7" s="7" t="s">
        <v>207</v>
      </c>
      <c r="F7" s="7">
        <f t="shared" si="0"/>
        <v>20</v>
      </c>
      <c r="G7" s="7"/>
      <c r="H7" s="90"/>
      <c r="I7" s="7"/>
      <c r="J7" s="7"/>
      <c r="K7" s="7"/>
      <c r="L7" s="7"/>
      <c r="M7" s="7"/>
      <c r="N7" s="7"/>
      <c r="O7" s="7"/>
      <c r="P7" s="7">
        <f>5+5+5+5</f>
        <v>20</v>
      </c>
      <c r="Q7" s="7"/>
      <c r="R7" s="7"/>
      <c r="S7" s="7"/>
      <c r="T7" s="7"/>
    </row>
    <row r="8" spans="1:20" ht="25.5" customHeight="1" x14ac:dyDescent="0.25">
      <c r="A8" s="68">
        <v>45120</v>
      </c>
      <c r="B8" s="7"/>
      <c r="C8" s="7" t="s">
        <v>18</v>
      </c>
      <c r="D8" s="7">
        <f>630+700+100+35+135</f>
        <v>1600</v>
      </c>
      <c r="E8" s="7" t="s">
        <v>208</v>
      </c>
      <c r="F8" s="7">
        <f t="shared" si="0"/>
        <v>90</v>
      </c>
      <c r="G8" s="7"/>
      <c r="H8" s="90">
        <v>90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45120</v>
      </c>
      <c r="B9" s="7"/>
      <c r="C9" s="7" t="s">
        <v>30</v>
      </c>
      <c r="D9" s="7">
        <v>0</v>
      </c>
      <c r="E9" s="7" t="s">
        <v>209</v>
      </c>
      <c r="F9" s="7">
        <f t="shared" si="0"/>
        <v>100</v>
      </c>
      <c r="G9" s="7"/>
      <c r="H9" s="90"/>
      <c r="I9" s="7"/>
      <c r="J9" s="7"/>
      <c r="K9" s="7"/>
      <c r="L9" s="7"/>
      <c r="M9" s="7"/>
      <c r="N9" s="7"/>
      <c r="O9" s="7"/>
      <c r="P9" s="7"/>
      <c r="Q9" s="7"/>
      <c r="R9" s="7">
        <v>100</v>
      </c>
      <c r="S9" s="7"/>
      <c r="T9" s="7"/>
    </row>
    <row r="10" spans="1:20" ht="25.5" customHeight="1" x14ac:dyDescent="0.25">
      <c r="A10" s="68">
        <v>45120</v>
      </c>
      <c r="B10" s="7"/>
      <c r="C10" s="7" t="s">
        <v>46</v>
      </c>
      <c r="D10" s="7">
        <v>0</v>
      </c>
      <c r="E10" s="7" t="s">
        <v>12</v>
      </c>
      <c r="F10" s="7">
        <f t="shared" si="0"/>
        <v>135</v>
      </c>
      <c r="G10" s="7"/>
      <c r="H10" s="90"/>
      <c r="I10" s="7"/>
      <c r="J10" s="7"/>
      <c r="K10" s="7"/>
      <c r="L10" s="7">
        <f>90+45</f>
        <v>135</v>
      </c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45120</v>
      </c>
      <c r="B11" s="7"/>
      <c r="C11" s="7"/>
      <c r="D11" s="7"/>
      <c r="E11" s="7" t="s">
        <v>210</v>
      </c>
      <c r="F11" s="7">
        <f t="shared" si="0"/>
        <v>110</v>
      </c>
      <c r="G11" s="7"/>
      <c r="H11" s="90"/>
      <c r="I11" s="7"/>
      <c r="J11" s="7"/>
      <c r="K11" s="7"/>
      <c r="L11" s="7">
        <v>110</v>
      </c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45120</v>
      </c>
      <c r="B12" s="7"/>
      <c r="C12" s="7"/>
      <c r="D12" s="7"/>
      <c r="E12" s="7" t="s">
        <v>123</v>
      </c>
      <c r="F12" s="7">
        <f t="shared" si="0"/>
        <v>100</v>
      </c>
      <c r="G12" s="7">
        <v>100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45120</v>
      </c>
      <c r="B13" s="7"/>
      <c r="C13" s="7"/>
      <c r="D13" s="7"/>
      <c r="E13" s="7" t="s">
        <v>107</v>
      </c>
      <c r="F13" s="7">
        <f t="shared" si="0"/>
        <v>30</v>
      </c>
      <c r="G13" s="7">
        <v>30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45120</v>
      </c>
      <c r="B14" s="7"/>
      <c r="C14" s="7"/>
      <c r="D14" s="7"/>
      <c r="E14" s="7" t="s">
        <v>87</v>
      </c>
      <c r="F14" s="7">
        <f t="shared" si="0"/>
        <v>150</v>
      </c>
      <c r="G14" s="7">
        <v>150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45120</v>
      </c>
      <c r="B15" s="7"/>
      <c r="C15" s="7"/>
      <c r="D15" s="7"/>
      <c r="E15" s="7" t="s">
        <v>91</v>
      </c>
      <c r="F15" s="7">
        <f t="shared" si="0"/>
        <v>200</v>
      </c>
      <c r="G15" s="7">
        <v>200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45120</v>
      </c>
      <c r="B16" s="7"/>
      <c r="C16" s="7"/>
      <c r="D16" s="7"/>
      <c r="E16" s="7" t="s">
        <v>86</v>
      </c>
      <c r="F16" s="7">
        <f t="shared" si="0"/>
        <v>170</v>
      </c>
      <c r="G16" s="7">
        <v>170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45120</v>
      </c>
      <c r="B17" s="7"/>
      <c r="C17" s="7"/>
      <c r="D17" s="7"/>
      <c r="E17" s="92" t="s">
        <v>89</v>
      </c>
      <c r="F17" s="7">
        <f t="shared" si="0"/>
        <v>150</v>
      </c>
      <c r="G17" s="7">
        <v>150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45120</v>
      </c>
      <c r="B18" s="7"/>
      <c r="C18" s="7"/>
      <c r="D18" s="7"/>
      <c r="E18" s="7" t="s">
        <v>88</v>
      </c>
      <c r="F18" s="7">
        <f t="shared" si="0"/>
        <v>160</v>
      </c>
      <c r="G18" s="7">
        <v>160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45120</v>
      </c>
      <c r="B19" s="7"/>
      <c r="C19" s="7"/>
      <c r="D19" s="7"/>
      <c r="E19" s="7" t="s">
        <v>103</v>
      </c>
      <c r="F19" s="7">
        <f t="shared" si="0"/>
        <v>160</v>
      </c>
      <c r="G19" s="7">
        <v>160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45120</v>
      </c>
      <c r="B20" s="7"/>
      <c r="C20" s="7"/>
      <c r="D20" s="7"/>
      <c r="E20" s="7" t="s">
        <v>211</v>
      </c>
      <c r="F20" s="7">
        <f t="shared" si="0"/>
        <v>100</v>
      </c>
      <c r="G20" s="7">
        <v>100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45120</v>
      </c>
      <c r="B21" s="7"/>
      <c r="C21" s="7"/>
      <c r="D21" s="7"/>
      <c r="E21" s="7" t="s">
        <v>181</v>
      </c>
      <c r="F21" s="7">
        <f t="shared" si="0"/>
        <v>30</v>
      </c>
      <c r="G21" s="7">
        <v>30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45120</v>
      </c>
      <c r="B22" s="7"/>
      <c r="C22" s="7"/>
      <c r="D22" s="7"/>
      <c r="E22" s="7" t="s">
        <v>96</v>
      </c>
      <c r="F22" s="7">
        <f t="shared" si="0"/>
        <v>170</v>
      </c>
      <c r="G22" s="7">
        <v>170</v>
      </c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/>
      <c r="B23" s="7"/>
      <c r="C23" s="7"/>
      <c r="D23" s="7"/>
      <c r="E23" s="7" t="s">
        <v>98</v>
      </c>
      <c r="F23" s="7">
        <f t="shared" si="0"/>
        <v>120</v>
      </c>
      <c r="G23" s="7">
        <v>120</v>
      </c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 t="s">
        <v>99</v>
      </c>
      <c r="F24" s="7">
        <f t="shared" si="0"/>
        <v>150</v>
      </c>
      <c r="G24" s="7">
        <v>150</v>
      </c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 t="s">
        <v>104</v>
      </c>
      <c r="F25" s="7">
        <f t="shared" si="0"/>
        <v>50</v>
      </c>
      <c r="G25" s="7">
        <v>50</v>
      </c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6178</v>
      </c>
      <c r="E39" s="119"/>
      <c r="F39" s="7">
        <f>SUM(F4:F38)</f>
        <v>2860</v>
      </c>
      <c r="G39" s="7">
        <f t="shared" ref="G39:T39" si="1">SUM(G4:G38)</f>
        <v>1740</v>
      </c>
      <c r="H39" s="90">
        <f t="shared" si="1"/>
        <v>90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245</v>
      </c>
      <c r="M39" s="7">
        <f t="shared" si="1"/>
        <v>0</v>
      </c>
      <c r="N39" s="7">
        <f t="shared" si="1"/>
        <v>10</v>
      </c>
      <c r="O39" s="7">
        <f t="shared" si="1"/>
        <v>0</v>
      </c>
      <c r="P39" s="7">
        <f t="shared" si="1"/>
        <v>20</v>
      </c>
      <c r="Q39" s="7">
        <f t="shared" si="1"/>
        <v>0</v>
      </c>
      <c r="R39" s="7">
        <f t="shared" si="1"/>
        <v>100</v>
      </c>
      <c r="S39" s="7">
        <f t="shared" si="1"/>
        <v>0</v>
      </c>
      <c r="T39" s="7">
        <f t="shared" si="1"/>
        <v>655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6178</v>
      </c>
      <c r="C42" s="8"/>
      <c r="E42" s="6">
        <v>200</v>
      </c>
      <c r="F42" s="7">
        <v>5</v>
      </c>
      <c r="G42" s="8">
        <f t="shared" ref="G42:G48" si="2">+E42*F42</f>
        <v>1000</v>
      </c>
    </row>
    <row r="43" spans="1:20" ht="46.5" customHeight="1" x14ac:dyDescent="0.25">
      <c r="A43" s="10" t="s">
        <v>20</v>
      </c>
      <c r="B43" s="7">
        <f>D8</f>
        <v>1600</v>
      </c>
      <c r="C43" s="8"/>
      <c r="E43" s="6">
        <v>100</v>
      </c>
      <c r="F43" s="7">
        <v>5</v>
      </c>
      <c r="G43" s="8">
        <f t="shared" si="2"/>
        <v>500</v>
      </c>
    </row>
    <row r="44" spans="1:20" ht="46.5" customHeight="1" x14ac:dyDescent="0.25">
      <c r="A44" s="10" t="s">
        <v>21</v>
      </c>
      <c r="B44" s="7">
        <f>F39</f>
        <v>2860</v>
      </c>
      <c r="C44" s="8"/>
      <c r="E44" s="6">
        <v>50</v>
      </c>
      <c r="F44" s="7">
        <v>2</v>
      </c>
      <c r="G44" s="8">
        <f t="shared" si="2"/>
        <v>100</v>
      </c>
    </row>
    <row r="45" spans="1:20" ht="51.75" customHeight="1" x14ac:dyDescent="0.25">
      <c r="A45" s="10" t="s">
        <v>22</v>
      </c>
      <c r="B45" s="12">
        <f>+B42-B43-B44</f>
        <v>1718</v>
      </c>
      <c r="C45" s="13"/>
      <c r="E45" s="6">
        <v>20</v>
      </c>
      <c r="F45" s="7"/>
      <c r="G45" s="8">
        <f t="shared" si="2"/>
        <v>0</v>
      </c>
    </row>
    <row r="46" spans="1:20" ht="46.5" customHeight="1" x14ac:dyDescent="0.25">
      <c r="A46" s="10" t="s">
        <v>23</v>
      </c>
      <c r="B46" s="12">
        <f>G49</f>
        <v>1630</v>
      </c>
      <c r="C46" s="13"/>
      <c r="D46" s="1"/>
      <c r="E46" s="6">
        <v>10</v>
      </c>
      <c r="F46" s="7">
        <v>1</v>
      </c>
      <c r="G46" s="8">
        <f t="shared" si="2"/>
        <v>10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1</v>
      </c>
      <c r="G47" s="8">
        <f t="shared" si="2"/>
        <v>5</v>
      </c>
    </row>
    <row r="48" spans="1:20" ht="36.75" customHeight="1" x14ac:dyDescent="0.25">
      <c r="A48" s="10" t="s">
        <v>7</v>
      </c>
      <c r="B48" s="12">
        <f>IF(B45&gt;B46,B45-B46,0)</f>
        <v>88</v>
      </c>
      <c r="C48" s="13"/>
      <c r="E48" s="6">
        <v>1</v>
      </c>
      <c r="F48" s="7">
        <v>15</v>
      </c>
      <c r="G48" s="8">
        <f t="shared" si="2"/>
        <v>15</v>
      </c>
    </row>
    <row r="49" spans="1:7" ht="30" customHeight="1" thickBot="1" x14ac:dyDescent="0.35">
      <c r="A49" s="11" t="s">
        <v>29</v>
      </c>
      <c r="B49" s="14" t="b">
        <f>B45=B46</f>
        <v>0</v>
      </c>
      <c r="C49" s="15"/>
      <c r="E49" s="137" t="s">
        <v>25</v>
      </c>
      <c r="F49" s="138"/>
      <c r="G49" s="9">
        <f>SUM(G42:G48)</f>
        <v>1630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35" zoomScale="57" zoomScaleNormal="57" workbookViewId="0">
      <selection activeCell="L43" sqref="L4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3" width="13.5703125" customWidth="1"/>
    <col min="14" max="14" width="15.7109375" bestFit="1" customWidth="1"/>
    <col min="15" max="15" width="19.140625" bestFit="1" customWidth="1"/>
    <col min="16" max="16" width="19.7109375" bestFit="1" customWidth="1"/>
    <col min="17" max="17" width="10.5703125" customWidth="1"/>
    <col min="18" max="18" width="19.42578125" bestFit="1" customWidth="1"/>
    <col min="19" max="19" width="10.85546875" bestFit="1" customWidth="1"/>
    <col min="20" max="20" width="12.71093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45121</v>
      </c>
      <c r="B4" s="7"/>
      <c r="C4" s="7" t="s">
        <v>14</v>
      </c>
      <c r="D4" s="7">
        <v>711</v>
      </c>
      <c r="E4" s="7" t="s">
        <v>125</v>
      </c>
      <c r="F4" s="7">
        <f>SUM(G4:T4)</f>
        <v>90</v>
      </c>
      <c r="G4" s="7"/>
      <c r="H4" s="90"/>
      <c r="I4" s="7"/>
      <c r="J4" s="7"/>
      <c r="K4" s="7"/>
      <c r="L4" s="7">
        <f>90</f>
        <v>90</v>
      </c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45121</v>
      </c>
      <c r="B5" s="7"/>
      <c r="C5" s="7" t="s">
        <v>15</v>
      </c>
      <c r="D5" s="7">
        <v>1871</v>
      </c>
      <c r="E5" s="7" t="s">
        <v>83</v>
      </c>
      <c r="F5" s="7">
        <f t="shared" ref="F5:F38" si="0">SUM(G5:T5)</f>
        <v>5</v>
      </c>
      <c r="G5" s="7"/>
      <c r="H5" s="90"/>
      <c r="I5" s="7"/>
      <c r="J5" s="7"/>
      <c r="K5" s="7"/>
      <c r="L5" s="7"/>
      <c r="M5" s="7"/>
      <c r="N5" s="7"/>
      <c r="O5" s="7"/>
      <c r="P5" s="7">
        <v>5</v>
      </c>
      <c r="Q5" s="7"/>
      <c r="R5" s="7"/>
      <c r="S5" s="7"/>
      <c r="T5" s="7"/>
    </row>
    <row r="6" spans="1:20" ht="25.5" customHeight="1" x14ac:dyDescent="0.25">
      <c r="A6" s="68">
        <v>45121</v>
      </c>
      <c r="B6" s="7"/>
      <c r="C6" s="7" t="s">
        <v>16</v>
      </c>
      <c r="D6" s="7">
        <v>0</v>
      </c>
      <c r="E6" s="7" t="s">
        <v>212</v>
      </c>
      <c r="F6" s="7">
        <f t="shared" si="0"/>
        <v>15</v>
      </c>
      <c r="G6" s="7"/>
      <c r="H6" s="90"/>
      <c r="I6" s="7"/>
      <c r="J6" s="7"/>
      <c r="K6" s="7"/>
      <c r="L6" s="7"/>
      <c r="M6" s="7"/>
      <c r="N6" s="7"/>
      <c r="O6" s="7"/>
      <c r="P6" s="7">
        <f>10+5</f>
        <v>15</v>
      </c>
      <c r="Q6" s="7"/>
      <c r="R6" s="7"/>
      <c r="S6" s="7"/>
      <c r="T6" s="7"/>
    </row>
    <row r="7" spans="1:20" ht="25.5" customHeight="1" x14ac:dyDescent="0.25">
      <c r="A7" s="68">
        <v>45121</v>
      </c>
      <c r="B7" s="7"/>
      <c r="C7" s="7" t="s">
        <v>17</v>
      </c>
      <c r="D7" s="7">
        <v>307</v>
      </c>
      <c r="E7" s="7" t="s">
        <v>129</v>
      </c>
      <c r="F7" s="7">
        <f t="shared" si="0"/>
        <v>270</v>
      </c>
      <c r="G7" s="7"/>
      <c r="H7" s="90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>
        <v>270</v>
      </c>
    </row>
    <row r="8" spans="1:20" ht="25.5" customHeight="1" x14ac:dyDescent="0.25">
      <c r="A8" s="68">
        <v>45121</v>
      </c>
      <c r="B8" s="7"/>
      <c r="C8" s="7" t="s">
        <v>18</v>
      </c>
      <c r="D8" s="7">
        <f>2000+1000+50</f>
        <v>3050</v>
      </c>
      <c r="E8" s="7" t="s">
        <v>87</v>
      </c>
      <c r="F8" s="7">
        <f t="shared" si="0"/>
        <v>150</v>
      </c>
      <c r="G8" s="7">
        <v>150</v>
      </c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45121</v>
      </c>
      <c r="B9" s="7"/>
      <c r="C9" s="7" t="s">
        <v>30</v>
      </c>
      <c r="D9" s="7">
        <v>0</v>
      </c>
      <c r="E9" s="7" t="s">
        <v>88</v>
      </c>
      <c r="F9" s="7">
        <f t="shared" si="0"/>
        <v>160</v>
      </c>
      <c r="G9" s="7">
        <v>160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45121</v>
      </c>
      <c r="B10" s="7"/>
      <c r="C10" s="7" t="s">
        <v>46</v>
      </c>
      <c r="D10" s="7">
        <v>0</v>
      </c>
      <c r="E10" s="7" t="s">
        <v>89</v>
      </c>
      <c r="F10" s="7">
        <f t="shared" si="0"/>
        <v>150</v>
      </c>
      <c r="G10" s="7">
        <v>150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45121</v>
      </c>
      <c r="B11" s="7"/>
      <c r="C11" s="7"/>
      <c r="D11" s="7"/>
      <c r="E11" s="7" t="s">
        <v>103</v>
      </c>
      <c r="F11" s="7">
        <f t="shared" si="0"/>
        <v>160</v>
      </c>
      <c r="G11" s="7">
        <v>160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45121</v>
      </c>
      <c r="B12" s="7"/>
      <c r="C12" s="7"/>
      <c r="D12" s="7"/>
      <c r="E12" s="7" t="s">
        <v>86</v>
      </c>
      <c r="F12" s="7">
        <f t="shared" si="0"/>
        <v>170</v>
      </c>
      <c r="G12" s="7">
        <v>170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45121</v>
      </c>
      <c r="B13" s="7"/>
      <c r="C13" s="7"/>
      <c r="D13" s="7"/>
      <c r="E13" s="7" t="s">
        <v>91</v>
      </c>
      <c r="F13" s="7">
        <f t="shared" si="0"/>
        <v>200</v>
      </c>
      <c r="G13" s="7">
        <v>200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45121</v>
      </c>
      <c r="B14" s="7"/>
      <c r="C14" s="7"/>
      <c r="D14" s="7"/>
      <c r="E14" s="7" t="s">
        <v>90</v>
      </c>
      <c r="F14" s="7">
        <f t="shared" si="0"/>
        <v>50</v>
      </c>
      <c r="G14" s="7">
        <v>50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45121</v>
      </c>
      <c r="B15" s="7"/>
      <c r="C15" s="7"/>
      <c r="D15" s="7"/>
      <c r="E15" s="7" t="s">
        <v>92</v>
      </c>
      <c r="F15" s="7">
        <f t="shared" si="0"/>
        <v>100</v>
      </c>
      <c r="G15" s="7">
        <v>100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45121</v>
      </c>
      <c r="B16" s="7"/>
      <c r="C16" s="7"/>
      <c r="D16" s="7"/>
      <c r="E16" s="7" t="s">
        <v>96</v>
      </c>
      <c r="F16" s="7">
        <f t="shared" si="0"/>
        <v>170</v>
      </c>
      <c r="G16" s="7">
        <v>170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45121</v>
      </c>
      <c r="B17" s="7"/>
      <c r="C17" s="7"/>
      <c r="D17" s="7"/>
      <c r="E17" s="7" t="s">
        <v>98</v>
      </c>
      <c r="F17" s="7">
        <f t="shared" si="0"/>
        <v>120</v>
      </c>
      <c r="G17" s="7">
        <v>120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45121</v>
      </c>
      <c r="B18" s="7"/>
      <c r="C18" s="7"/>
      <c r="D18" s="7"/>
      <c r="E18" s="7" t="s">
        <v>99</v>
      </c>
      <c r="F18" s="7">
        <f t="shared" si="0"/>
        <v>150</v>
      </c>
      <c r="G18" s="7">
        <v>150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45121</v>
      </c>
      <c r="B19" s="7"/>
      <c r="C19" s="7"/>
      <c r="D19" s="7"/>
      <c r="E19" s="7" t="s">
        <v>94</v>
      </c>
      <c r="F19" s="7">
        <f t="shared" si="0"/>
        <v>30</v>
      </c>
      <c r="G19" s="7">
        <v>30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45121</v>
      </c>
      <c r="B20" s="7"/>
      <c r="C20" s="7"/>
      <c r="D20" s="7"/>
      <c r="E20" s="7" t="s">
        <v>93</v>
      </c>
      <c r="F20" s="7">
        <f t="shared" si="0"/>
        <v>50</v>
      </c>
      <c r="G20" s="7">
        <v>50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45121</v>
      </c>
      <c r="B21" s="7"/>
      <c r="C21" s="7"/>
      <c r="D21" s="7"/>
      <c r="E21" s="7"/>
      <c r="F21" s="7">
        <f t="shared" si="0"/>
        <v>0</v>
      </c>
      <c r="G21" s="7"/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45121</v>
      </c>
      <c r="B22" s="7"/>
      <c r="C22" s="7"/>
      <c r="D22" s="7"/>
      <c r="E22" s="7"/>
      <c r="F22" s="7">
        <f t="shared" si="0"/>
        <v>0</v>
      </c>
      <c r="G22" s="7"/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45121</v>
      </c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>
        <v>45121</v>
      </c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>
        <v>45121</v>
      </c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>
        <v>45121</v>
      </c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>
        <v>45121</v>
      </c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>
        <v>45121</v>
      </c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5939</v>
      </c>
      <c r="E39" s="119"/>
      <c r="F39" s="7">
        <f>SUM(F4:F38)</f>
        <v>2040</v>
      </c>
      <c r="G39" s="7">
        <f t="shared" ref="G39:T39" si="1">SUM(G4:G38)</f>
        <v>1660</v>
      </c>
      <c r="H39" s="90">
        <f t="shared" si="1"/>
        <v>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90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20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270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5939</v>
      </c>
      <c r="C42" s="8"/>
      <c r="E42" s="6">
        <v>200</v>
      </c>
      <c r="F42" s="7"/>
      <c r="G42" s="8">
        <f t="shared" ref="G42:G48" si="2">+E42*F42</f>
        <v>0</v>
      </c>
    </row>
    <row r="43" spans="1:20" ht="46.5" customHeight="1" x14ac:dyDescent="0.25">
      <c r="A43" s="10" t="s">
        <v>20</v>
      </c>
      <c r="B43" s="7">
        <f>D8</f>
        <v>3050</v>
      </c>
      <c r="C43" s="8"/>
      <c r="E43" s="6">
        <v>100</v>
      </c>
      <c r="F43" s="7">
        <v>8</v>
      </c>
      <c r="G43" s="8">
        <f t="shared" si="2"/>
        <v>800</v>
      </c>
    </row>
    <row r="44" spans="1:20" ht="46.5" customHeight="1" x14ac:dyDescent="0.25">
      <c r="A44" s="10" t="s">
        <v>21</v>
      </c>
      <c r="B44" s="7">
        <f>F39</f>
        <v>2040</v>
      </c>
      <c r="C44" s="8"/>
      <c r="E44" s="6">
        <v>50</v>
      </c>
      <c r="F44" s="7"/>
      <c r="G44" s="8">
        <f t="shared" si="2"/>
        <v>0</v>
      </c>
    </row>
    <row r="45" spans="1:20" ht="51.75" customHeight="1" x14ac:dyDescent="0.25">
      <c r="A45" s="10" t="s">
        <v>22</v>
      </c>
      <c r="B45" s="12">
        <f>+B42-B43-B44</f>
        <v>849</v>
      </c>
      <c r="C45" s="13"/>
      <c r="E45" s="6">
        <v>20</v>
      </c>
      <c r="F45" s="7">
        <v>1</v>
      </c>
      <c r="G45" s="8">
        <f t="shared" si="2"/>
        <v>20</v>
      </c>
    </row>
    <row r="46" spans="1:20" ht="46.5" customHeight="1" x14ac:dyDescent="0.25">
      <c r="A46" s="10" t="s">
        <v>23</v>
      </c>
      <c r="B46" s="12">
        <f>G49</f>
        <v>849</v>
      </c>
      <c r="C46" s="13"/>
      <c r="D46" s="1"/>
      <c r="E46" s="6">
        <v>10</v>
      </c>
      <c r="F46" s="7">
        <v>1</v>
      </c>
      <c r="G46" s="8">
        <f t="shared" si="2"/>
        <v>10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/>
      <c r="G47" s="8">
        <f t="shared" si="2"/>
        <v>0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19</v>
      </c>
      <c r="G48" s="8">
        <f t="shared" si="2"/>
        <v>19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849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39" zoomScale="66" zoomScaleNormal="66" workbookViewId="0">
      <selection activeCell="H46" sqref="H46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8.85546875" bestFit="1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3" width="13.140625" bestFit="1" customWidth="1"/>
    <col min="14" max="14" width="15" bestFit="1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45122</v>
      </c>
      <c r="B4" s="7"/>
      <c r="C4" s="7" t="s">
        <v>14</v>
      </c>
      <c r="D4" s="7">
        <v>463</v>
      </c>
      <c r="E4" s="7" t="s">
        <v>83</v>
      </c>
      <c r="F4" s="7">
        <f>SUM(G4:T4)</f>
        <v>30</v>
      </c>
      <c r="G4" s="7"/>
      <c r="H4" s="90"/>
      <c r="I4" s="7"/>
      <c r="J4" s="7"/>
      <c r="K4" s="7"/>
      <c r="L4" s="7"/>
      <c r="M4" s="7"/>
      <c r="N4" s="7"/>
      <c r="O4" s="7"/>
      <c r="P4" s="7">
        <f>5+5+20</f>
        <v>30</v>
      </c>
      <c r="Q4" s="7"/>
      <c r="R4" s="7"/>
      <c r="S4" s="7"/>
      <c r="T4" s="7"/>
    </row>
    <row r="5" spans="1:20" ht="25.5" customHeight="1" x14ac:dyDescent="0.25">
      <c r="A5" s="68">
        <v>45122</v>
      </c>
      <c r="B5" s="7"/>
      <c r="C5" s="7" t="s">
        <v>15</v>
      </c>
      <c r="D5" s="7">
        <v>2403</v>
      </c>
      <c r="E5" s="7" t="s">
        <v>222</v>
      </c>
      <c r="F5" s="7">
        <f t="shared" ref="F5:F38" si="0">SUM(G5:T5)</f>
        <v>85</v>
      </c>
      <c r="G5" s="7"/>
      <c r="H5" s="90">
        <v>85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25.5" customHeight="1" x14ac:dyDescent="0.25">
      <c r="A6" s="68">
        <v>45122</v>
      </c>
      <c r="B6" s="7"/>
      <c r="C6" s="7" t="s">
        <v>16</v>
      </c>
      <c r="D6" s="7">
        <v>0</v>
      </c>
      <c r="E6" s="7" t="s">
        <v>125</v>
      </c>
      <c r="F6" s="7">
        <f t="shared" si="0"/>
        <v>135</v>
      </c>
      <c r="G6" s="7"/>
      <c r="H6" s="90"/>
      <c r="I6" s="7"/>
      <c r="J6" s="7"/>
      <c r="K6" s="7"/>
      <c r="L6" s="7">
        <f>90+45</f>
        <v>135</v>
      </c>
      <c r="M6" s="7"/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45122</v>
      </c>
      <c r="B7" s="7"/>
      <c r="C7" s="7" t="s">
        <v>17</v>
      </c>
      <c r="D7" s="7">
        <v>160</v>
      </c>
      <c r="E7" s="7" t="s">
        <v>126</v>
      </c>
      <c r="F7" s="7">
        <f t="shared" si="0"/>
        <v>415</v>
      </c>
      <c r="G7" s="7"/>
      <c r="H7" s="90"/>
      <c r="I7" s="7"/>
      <c r="J7" s="7"/>
      <c r="K7" s="7"/>
      <c r="L7" s="7"/>
      <c r="M7" s="7"/>
      <c r="N7" s="7"/>
      <c r="O7" s="7"/>
      <c r="P7" s="7"/>
      <c r="Q7" s="7"/>
      <c r="R7" s="7">
        <v>415</v>
      </c>
      <c r="S7" s="7"/>
      <c r="T7" s="7"/>
    </row>
    <row r="8" spans="1:20" ht="25.5" customHeight="1" x14ac:dyDescent="0.25">
      <c r="A8" s="68">
        <v>45122</v>
      </c>
      <c r="B8" s="7"/>
      <c r="C8" s="7" t="s">
        <v>18</v>
      </c>
      <c r="D8" s="7">
        <f>20+25+135+20+25+20</f>
        <v>245</v>
      </c>
      <c r="E8" s="92" t="s">
        <v>223</v>
      </c>
      <c r="F8" s="7">
        <f t="shared" si="0"/>
        <v>102</v>
      </c>
      <c r="G8" s="7"/>
      <c r="H8" s="90"/>
      <c r="I8" s="7"/>
      <c r="J8" s="7"/>
      <c r="K8" s="7"/>
      <c r="L8" s="7"/>
      <c r="M8" s="7"/>
      <c r="N8" s="7">
        <v>102</v>
      </c>
      <c r="O8" s="7"/>
      <c r="P8" s="7"/>
      <c r="Q8" s="7"/>
      <c r="R8" s="7"/>
      <c r="S8" s="7"/>
      <c r="T8" s="7"/>
    </row>
    <row r="9" spans="1:20" ht="25.5" customHeight="1" x14ac:dyDescent="0.25">
      <c r="A9" s="68">
        <v>45122</v>
      </c>
      <c r="B9" s="7"/>
      <c r="C9" s="7" t="s">
        <v>30</v>
      </c>
      <c r="D9" s="7">
        <v>0</v>
      </c>
      <c r="E9" s="7" t="s">
        <v>87</v>
      </c>
      <c r="F9" s="7">
        <f t="shared" si="0"/>
        <v>150</v>
      </c>
      <c r="G9" s="7">
        <v>150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45122</v>
      </c>
      <c r="B10" s="7"/>
      <c r="C10" s="7" t="s">
        <v>46</v>
      </c>
      <c r="D10" s="7">
        <v>0</v>
      </c>
      <c r="E10" s="7" t="s">
        <v>224</v>
      </c>
      <c r="F10" s="7">
        <f t="shared" si="0"/>
        <v>270</v>
      </c>
      <c r="G10" s="7">
        <f>170+100</f>
        <v>270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45122</v>
      </c>
      <c r="B11" s="7"/>
      <c r="C11" s="7"/>
      <c r="D11" s="7"/>
      <c r="E11" s="7" t="s">
        <v>88</v>
      </c>
      <c r="F11" s="7">
        <f t="shared" si="0"/>
        <v>160</v>
      </c>
      <c r="G11" s="7">
        <v>160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45122</v>
      </c>
      <c r="B12" s="7"/>
      <c r="C12" s="7"/>
      <c r="D12" s="7"/>
      <c r="E12" s="7" t="s">
        <v>90</v>
      </c>
      <c r="F12" s="7">
        <f t="shared" si="0"/>
        <v>50</v>
      </c>
      <c r="G12" s="7">
        <v>50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45122</v>
      </c>
      <c r="B13" s="7"/>
      <c r="C13" s="7"/>
      <c r="D13" s="7"/>
      <c r="E13" s="7" t="s">
        <v>89</v>
      </c>
      <c r="F13" s="7">
        <f t="shared" si="0"/>
        <v>150</v>
      </c>
      <c r="G13" s="7">
        <v>150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45122</v>
      </c>
      <c r="B14" s="7"/>
      <c r="C14" s="7"/>
      <c r="D14" s="7"/>
      <c r="E14" s="7" t="s">
        <v>181</v>
      </c>
      <c r="F14" s="7">
        <f t="shared" si="0"/>
        <v>30</v>
      </c>
      <c r="G14" s="7">
        <v>30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45122</v>
      </c>
      <c r="B15" s="7"/>
      <c r="C15" s="7"/>
      <c r="D15" s="7"/>
      <c r="E15" s="7" t="s">
        <v>103</v>
      </c>
      <c r="F15" s="7">
        <f t="shared" si="0"/>
        <v>160</v>
      </c>
      <c r="G15" s="7">
        <v>160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45122</v>
      </c>
      <c r="B16" s="7"/>
      <c r="C16" s="7"/>
      <c r="D16" s="7"/>
      <c r="E16" s="7" t="s">
        <v>91</v>
      </c>
      <c r="F16" s="7">
        <f t="shared" si="0"/>
        <v>200</v>
      </c>
      <c r="G16" s="7">
        <v>200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45122</v>
      </c>
      <c r="B17" s="7"/>
      <c r="C17" s="7"/>
      <c r="D17" s="7"/>
      <c r="E17" s="7" t="s">
        <v>92</v>
      </c>
      <c r="F17" s="7">
        <f t="shared" si="0"/>
        <v>100</v>
      </c>
      <c r="G17" s="7">
        <v>100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45122</v>
      </c>
      <c r="B18" s="7"/>
      <c r="C18" s="7"/>
      <c r="D18" s="7"/>
      <c r="E18" s="7" t="s">
        <v>98</v>
      </c>
      <c r="F18" s="7">
        <f t="shared" si="0"/>
        <v>120</v>
      </c>
      <c r="G18" s="7">
        <v>120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45122</v>
      </c>
      <c r="B19" s="7"/>
      <c r="C19" s="7"/>
      <c r="D19" s="7"/>
      <c r="E19" s="7" t="s">
        <v>184</v>
      </c>
      <c r="F19" s="7">
        <f t="shared" si="0"/>
        <v>170</v>
      </c>
      <c r="G19" s="7">
        <v>170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45122</v>
      </c>
      <c r="B20" s="7"/>
      <c r="C20" s="7"/>
      <c r="D20" s="7"/>
      <c r="E20" s="7" t="s">
        <v>104</v>
      </c>
      <c r="F20" s="7">
        <f t="shared" si="0"/>
        <v>50</v>
      </c>
      <c r="G20" s="7">
        <v>50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45122</v>
      </c>
      <c r="B21" s="7"/>
      <c r="C21" s="7"/>
      <c r="D21" s="7"/>
      <c r="E21" s="7" t="s">
        <v>107</v>
      </c>
      <c r="F21" s="7">
        <f t="shared" si="0"/>
        <v>30</v>
      </c>
      <c r="G21" s="7">
        <v>30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45122</v>
      </c>
      <c r="B22" s="7"/>
      <c r="C22" s="7"/>
      <c r="D22" s="7"/>
      <c r="E22" s="7"/>
      <c r="F22" s="7">
        <f t="shared" si="0"/>
        <v>0</v>
      </c>
      <c r="G22" s="7"/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45122</v>
      </c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3271</v>
      </c>
      <c r="E39" s="119"/>
      <c r="F39" s="7">
        <f>SUM(F4:F38)</f>
        <v>2407</v>
      </c>
      <c r="G39" s="7">
        <f t="shared" ref="G39:T39" si="1">SUM(G4:G38)</f>
        <v>1640</v>
      </c>
      <c r="H39" s="90">
        <f t="shared" si="1"/>
        <v>85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135</v>
      </c>
      <c r="M39" s="7">
        <f t="shared" si="1"/>
        <v>0</v>
      </c>
      <c r="N39" s="7">
        <f t="shared" si="1"/>
        <v>102</v>
      </c>
      <c r="O39" s="7">
        <f t="shared" si="1"/>
        <v>0</v>
      </c>
      <c r="P39" s="7">
        <f t="shared" si="1"/>
        <v>30</v>
      </c>
      <c r="Q39" s="7">
        <f t="shared" si="1"/>
        <v>0</v>
      </c>
      <c r="R39" s="7">
        <f t="shared" si="1"/>
        <v>415</v>
      </c>
      <c r="S39" s="7">
        <f t="shared" si="1"/>
        <v>0</v>
      </c>
      <c r="T39" s="7">
        <f t="shared" si="1"/>
        <v>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3271</v>
      </c>
      <c r="C42" s="8"/>
      <c r="E42" s="6">
        <v>200</v>
      </c>
      <c r="F42" s="7">
        <v>2</v>
      </c>
      <c r="G42" s="8">
        <f t="shared" ref="G42:G48" si="2">+E42*F42</f>
        <v>400</v>
      </c>
    </row>
    <row r="43" spans="1:20" ht="46.5" customHeight="1" x14ac:dyDescent="0.25">
      <c r="A43" s="10" t="s">
        <v>20</v>
      </c>
      <c r="B43" s="7">
        <f>D8</f>
        <v>245</v>
      </c>
      <c r="C43" s="8"/>
      <c r="E43" s="6">
        <v>100</v>
      </c>
      <c r="F43" s="7">
        <v>1</v>
      </c>
      <c r="G43" s="8">
        <f t="shared" si="2"/>
        <v>100</v>
      </c>
    </row>
    <row r="44" spans="1:20" ht="46.5" customHeight="1" x14ac:dyDescent="0.25">
      <c r="A44" s="10" t="s">
        <v>21</v>
      </c>
      <c r="B44" s="7">
        <f>F39</f>
        <v>2407</v>
      </c>
      <c r="C44" s="8"/>
      <c r="E44" s="6">
        <v>50</v>
      </c>
      <c r="F44" s="7">
        <v>2</v>
      </c>
      <c r="G44" s="8">
        <f t="shared" si="2"/>
        <v>100</v>
      </c>
    </row>
    <row r="45" spans="1:20" ht="51.75" customHeight="1" x14ac:dyDescent="0.25">
      <c r="A45" s="10" t="s">
        <v>22</v>
      </c>
      <c r="B45" s="12">
        <f>+B42-B43-B44</f>
        <v>619</v>
      </c>
      <c r="C45" s="13"/>
      <c r="E45" s="6">
        <v>20</v>
      </c>
      <c r="F45" s="7"/>
      <c r="G45" s="8">
        <f t="shared" si="2"/>
        <v>0</v>
      </c>
    </row>
    <row r="46" spans="1:20" ht="46.5" customHeight="1" x14ac:dyDescent="0.25">
      <c r="A46" s="10" t="s">
        <v>23</v>
      </c>
      <c r="B46" s="12">
        <f>G49</f>
        <v>619</v>
      </c>
      <c r="C46" s="13"/>
      <c r="D46" s="1"/>
      <c r="E46" s="6">
        <v>10</v>
      </c>
      <c r="F46" s="7">
        <v>1</v>
      </c>
      <c r="G46" s="8">
        <f t="shared" si="2"/>
        <v>10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1</v>
      </c>
      <c r="G47" s="8">
        <f t="shared" si="2"/>
        <v>5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4</v>
      </c>
      <c r="G48" s="8">
        <f t="shared" si="2"/>
        <v>4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619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"/>
  <sheetViews>
    <sheetView rightToLeft="1" topLeftCell="A42" zoomScale="77" zoomScaleNormal="77" workbookViewId="0">
      <selection activeCell="H46" sqref="H46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33" bestFit="1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45123</v>
      </c>
      <c r="B4" s="7"/>
      <c r="C4" s="7" t="s">
        <v>14</v>
      </c>
      <c r="D4" s="7">
        <f>436+382</f>
        <v>818</v>
      </c>
      <c r="E4" s="7" t="s">
        <v>225</v>
      </c>
      <c r="F4" s="7">
        <f>SUM(G4:T4)</f>
        <v>870</v>
      </c>
      <c r="G4" s="7"/>
      <c r="H4" s="90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>
        <f>500+370</f>
        <v>870</v>
      </c>
    </row>
    <row r="5" spans="1:20" ht="25.5" customHeight="1" x14ac:dyDescent="0.25">
      <c r="A5" s="68">
        <v>45123</v>
      </c>
      <c r="B5" s="7"/>
      <c r="C5" s="7" t="s">
        <v>15</v>
      </c>
      <c r="D5" s="7">
        <f>943+2065</f>
        <v>3008</v>
      </c>
      <c r="E5" s="7" t="s">
        <v>125</v>
      </c>
      <c r="F5" s="7">
        <f t="shared" ref="F5:F38" si="0">SUM(G5:T5)</f>
        <v>180</v>
      </c>
      <c r="G5" s="7"/>
      <c r="H5" s="90"/>
      <c r="I5" s="7"/>
      <c r="J5" s="7"/>
      <c r="K5" s="7"/>
      <c r="L5" s="7">
        <f>90+90</f>
        <v>180</v>
      </c>
      <c r="M5" s="7"/>
      <c r="N5" s="7"/>
      <c r="O5" s="7"/>
      <c r="P5" s="7"/>
      <c r="Q5" s="7"/>
      <c r="R5" s="7"/>
      <c r="S5" s="7"/>
      <c r="T5" s="7"/>
    </row>
    <row r="6" spans="1:20" ht="25.5" customHeight="1" x14ac:dyDescent="0.25">
      <c r="A6" s="68">
        <v>45123</v>
      </c>
      <c r="B6" s="7"/>
      <c r="C6" s="7" t="s">
        <v>16</v>
      </c>
      <c r="D6" s="7">
        <v>0</v>
      </c>
      <c r="E6" s="7" t="s">
        <v>226</v>
      </c>
      <c r="F6" s="7">
        <f t="shared" si="0"/>
        <v>85</v>
      </c>
      <c r="G6" s="7"/>
      <c r="H6" s="90"/>
      <c r="I6" s="7"/>
      <c r="J6" s="7"/>
      <c r="K6" s="7"/>
      <c r="L6" s="7"/>
      <c r="M6" s="7"/>
      <c r="N6" s="7">
        <v>85</v>
      </c>
      <c r="O6" s="7"/>
      <c r="P6" s="7"/>
      <c r="Q6" s="7"/>
      <c r="R6" s="7"/>
      <c r="S6" s="7"/>
      <c r="T6" s="7"/>
    </row>
    <row r="7" spans="1:20" ht="25.5" customHeight="1" x14ac:dyDescent="0.25">
      <c r="A7" s="68">
        <v>45123</v>
      </c>
      <c r="B7" s="7"/>
      <c r="C7" s="7" t="s">
        <v>17</v>
      </c>
      <c r="D7" s="7">
        <v>280</v>
      </c>
      <c r="E7" s="7" t="s">
        <v>126</v>
      </c>
      <c r="F7" s="7">
        <f t="shared" si="0"/>
        <v>150</v>
      </c>
      <c r="G7" s="7"/>
      <c r="H7" s="90"/>
      <c r="I7" s="7"/>
      <c r="J7" s="7"/>
      <c r="K7" s="7"/>
      <c r="L7" s="7"/>
      <c r="M7" s="7"/>
      <c r="N7" s="7"/>
      <c r="O7" s="7"/>
      <c r="P7" s="7"/>
      <c r="Q7" s="7"/>
      <c r="R7" s="7">
        <v>150</v>
      </c>
      <c r="S7" s="7"/>
      <c r="T7" s="7"/>
    </row>
    <row r="8" spans="1:20" ht="25.5" customHeight="1" x14ac:dyDescent="0.25">
      <c r="A8" s="68">
        <v>45123</v>
      </c>
      <c r="B8" s="7"/>
      <c r="C8" s="7" t="s">
        <v>18</v>
      </c>
      <c r="D8" s="7">
        <f>20+60+118+90+100+100+25</f>
        <v>513</v>
      </c>
      <c r="E8" s="7" t="s">
        <v>208</v>
      </c>
      <c r="F8" s="7">
        <f t="shared" si="0"/>
        <v>55</v>
      </c>
      <c r="G8" s="7"/>
      <c r="H8" s="90">
        <v>55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45123</v>
      </c>
      <c r="B9" s="7"/>
      <c r="C9" s="7" t="s">
        <v>30</v>
      </c>
      <c r="D9" s="7">
        <v>0</v>
      </c>
      <c r="E9" s="7" t="s">
        <v>227</v>
      </c>
      <c r="F9" s="7">
        <f t="shared" si="0"/>
        <v>25</v>
      </c>
      <c r="G9" s="7"/>
      <c r="H9" s="90"/>
      <c r="I9" s="7"/>
      <c r="J9" s="7"/>
      <c r="K9" s="7"/>
      <c r="L9" s="7"/>
      <c r="M9" s="7"/>
      <c r="N9" s="7">
        <v>25</v>
      </c>
      <c r="O9" s="7"/>
      <c r="P9" s="7"/>
      <c r="Q9" s="7"/>
      <c r="R9" s="7"/>
      <c r="S9" s="7"/>
      <c r="T9" s="7"/>
    </row>
    <row r="10" spans="1:20" ht="25.5" customHeight="1" x14ac:dyDescent="0.25">
      <c r="A10" s="68">
        <v>45123</v>
      </c>
      <c r="B10" s="7"/>
      <c r="C10" s="7" t="s">
        <v>46</v>
      </c>
      <c r="D10" s="7">
        <v>0</v>
      </c>
      <c r="E10" s="7" t="s">
        <v>228</v>
      </c>
      <c r="F10" s="7">
        <f t="shared" si="0"/>
        <v>390</v>
      </c>
      <c r="G10" s="7">
        <f>220+170</f>
        <v>390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45123</v>
      </c>
      <c r="B11" s="7"/>
      <c r="C11" s="7"/>
      <c r="D11" s="7"/>
      <c r="E11" s="7" t="s">
        <v>123</v>
      </c>
      <c r="F11" s="7">
        <f t="shared" si="0"/>
        <v>100</v>
      </c>
      <c r="G11" s="7">
        <v>100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45123</v>
      </c>
      <c r="B12" s="7"/>
      <c r="C12" s="7"/>
      <c r="D12" s="7"/>
      <c r="E12" s="7" t="s">
        <v>88</v>
      </c>
      <c r="F12" s="7">
        <f t="shared" si="0"/>
        <v>160</v>
      </c>
      <c r="G12" s="7">
        <v>160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45123</v>
      </c>
      <c r="B13" s="7"/>
      <c r="C13" s="7"/>
      <c r="D13" s="7"/>
      <c r="E13" s="7" t="s">
        <v>159</v>
      </c>
      <c r="F13" s="7">
        <f t="shared" si="0"/>
        <v>150</v>
      </c>
      <c r="G13" s="7">
        <v>150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45123</v>
      </c>
      <c r="B14" s="7"/>
      <c r="C14" s="7"/>
      <c r="D14" s="7"/>
      <c r="E14" s="7" t="s">
        <v>98</v>
      </c>
      <c r="F14" s="7">
        <f t="shared" si="0"/>
        <v>120</v>
      </c>
      <c r="G14" s="7">
        <v>120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45123</v>
      </c>
      <c r="B15" s="7"/>
      <c r="C15" s="7"/>
      <c r="D15" s="7"/>
      <c r="E15" s="92" t="s">
        <v>91</v>
      </c>
      <c r="F15" s="7">
        <f t="shared" si="0"/>
        <v>200</v>
      </c>
      <c r="G15" s="7">
        <v>200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45123</v>
      </c>
      <c r="B16" s="7"/>
      <c r="C16" s="7"/>
      <c r="D16" s="7"/>
      <c r="E16" s="7" t="s">
        <v>179</v>
      </c>
      <c r="F16" s="7">
        <f t="shared" si="0"/>
        <v>150</v>
      </c>
      <c r="G16" s="7">
        <v>150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45123</v>
      </c>
      <c r="B17" s="7"/>
      <c r="C17" s="7"/>
      <c r="D17" s="7"/>
      <c r="E17" s="7" t="s">
        <v>103</v>
      </c>
      <c r="F17" s="7">
        <f t="shared" si="0"/>
        <v>160</v>
      </c>
      <c r="G17" s="7">
        <v>160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45123</v>
      </c>
      <c r="B18" s="7"/>
      <c r="C18" s="7"/>
      <c r="D18" s="7"/>
      <c r="E18" s="7" t="s">
        <v>94</v>
      </c>
      <c r="F18" s="7">
        <f t="shared" si="0"/>
        <v>30</v>
      </c>
      <c r="G18" s="7">
        <v>30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45123</v>
      </c>
      <c r="B19" s="7"/>
      <c r="C19" s="7"/>
      <c r="D19" s="7"/>
      <c r="E19" s="7" t="s">
        <v>90</v>
      </c>
      <c r="F19" s="7">
        <f t="shared" si="0"/>
        <v>60</v>
      </c>
      <c r="G19" s="7">
        <v>60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45123</v>
      </c>
      <c r="B20" s="7"/>
      <c r="C20" s="7"/>
      <c r="D20" s="7"/>
      <c r="E20" s="7" t="s">
        <v>89</v>
      </c>
      <c r="F20" s="7">
        <f t="shared" si="0"/>
        <v>150</v>
      </c>
      <c r="G20" s="7">
        <v>150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45123</v>
      </c>
      <c r="B21" s="7"/>
      <c r="C21" s="7"/>
      <c r="D21" s="7"/>
      <c r="E21" s="7" t="s">
        <v>92</v>
      </c>
      <c r="F21" s="7">
        <f t="shared" si="0"/>
        <v>100</v>
      </c>
      <c r="G21" s="7">
        <v>100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45123</v>
      </c>
      <c r="B22" s="7"/>
      <c r="C22" s="7"/>
      <c r="D22" s="7"/>
      <c r="E22" s="7" t="s">
        <v>181</v>
      </c>
      <c r="F22" s="7">
        <f t="shared" si="0"/>
        <v>30</v>
      </c>
      <c r="G22" s="7">
        <v>30</v>
      </c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45123</v>
      </c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4619</v>
      </c>
      <c r="E39" s="119"/>
      <c r="F39" s="7">
        <f>SUM(F4:F38)</f>
        <v>3165</v>
      </c>
      <c r="G39" s="7">
        <f t="shared" ref="G39:T39" si="1">SUM(G4:G38)</f>
        <v>1800</v>
      </c>
      <c r="H39" s="90">
        <f t="shared" si="1"/>
        <v>55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180</v>
      </c>
      <c r="M39" s="7">
        <f t="shared" si="1"/>
        <v>0</v>
      </c>
      <c r="N39" s="7">
        <f t="shared" si="1"/>
        <v>110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150</v>
      </c>
      <c r="S39" s="7">
        <f t="shared" si="1"/>
        <v>0</v>
      </c>
      <c r="T39" s="7">
        <f t="shared" si="1"/>
        <v>870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4619</v>
      </c>
      <c r="C42" s="8"/>
      <c r="E42" s="6">
        <v>200</v>
      </c>
      <c r="F42" s="7">
        <v>2</v>
      </c>
      <c r="G42" s="8">
        <f t="shared" ref="G42:G48" si="2">+E42*F42</f>
        <v>400</v>
      </c>
    </row>
    <row r="43" spans="1:20" ht="46.5" customHeight="1" x14ac:dyDescent="0.25">
      <c r="A43" s="10" t="s">
        <v>20</v>
      </c>
      <c r="B43" s="7">
        <f>D8</f>
        <v>513</v>
      </c>
      <c r="C43" s="8"/>
      <c r="E43" s="6">
        <v>100</v>
      </c>
      <c r="F43" s="7">
        <v>4</v>
      </c>
      <c r="G43" s="8">
        <f t="shared" si="2"/>
        <v>400</v>
      </c>
    </row>
    <row r="44" spans="1:20" ht="46.5" customHeight="1" x14ac:dyDescent="0.25">
      <c r="A44" s="10" t="s">
        <v>21</v>
      </c>
      <c r="B44" s="7">
        <f>F39</f>
        <v>3165</v>
      </c>
      <c r="C44" s="8"/>
      <c r="E44" s="6">
        <v>50</v>
      </c>
      <c r="F44" s="7">
        <v>2</v>
      </c>
      <c r="G44" s="8">
        <f t="shared" si="2"/>
        <v>100</v>
      </c>
    </row>
    <row r="45" spans="1:20" ht="51.75" customHeight="1" x14ac:dyDescent="0.25">
      <c r="A45" s="10" t="s">
        <v>22</v>
      </c>
      <c r="B45" s="12">
        <f>+B42-B43-B44</f>
        <v>941</v>
      </c>
      <c r="C45" s="13"/>
      <c r="E45" s="6">
        <v>20</v>
      </c>
      <c r="F45" s="7"/>
      <c r="G45" s="8">
        <f t="shared" si="2"/>
        <v>0</v>
      </c>
    </row>
    <row r="46" spans="1:20" ht="46.5" customHeight="1" x14ac:dyDescent="0.25">
      <c r="A46" s="10" t="s">
        <v>23</v>
      </c>
      <c r="B46" s="12">
        <f>G49</f>
        <v>941</v>
      </c>
      <c r="C46" s="13"/>
      <c r="D46" s="1"/>
      <c r="E46" s="6">
        <v>10</v>
      </c>
      <c r="F46" s="7">
        <v>2</v>
      </c>
      <c r="G46" s="8">
        <f t="shared" si="2"/>
        <v>20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4</v>
      </c>
      <c r="G47" s="8">
        <f t="shared" si="2"/>
        <v>20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1</v>
      </c>
      <c r="G48" s="8">
        <f t="shared" si="2"/>
        <v>1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941</v>
      </c>
    </row>
    <row r="50" spans="1:7" ht="15.75" customHeight="1" thickTop="1" x14ac:dyDescent="0.25"/>
    <row r="51" spans="1:7" ht="15" customHeight="1" x14ac:dyDescent="0.25"/>
    <row r="52" spans="1:7" ht="15" customHeight="1" x14ac:dyDescent="0.25"/>
    <row r="53" spans="1:7" ht="15" customHeight="1" x14ac:dyDescent="0.25"/>
  </sheetData>
  <mergeCells count="3">
    <mergeCell ref="E49:F49"/>
    <mergeCell ref="E2:L2"/>
    <mergeCell ref="A39:C39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4" zoomScale="60" zoomScaleNormal="60" workbookViewId="0">
      <selection activeCell="I44" sqref="I44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45124</v>
      </c>
      <c r="B4" s="7"/>
      <c r="C4" s="7" t="s">
        <v>14</v>
      </c>
      <c r="D4" s="7">
        <f>854+221</f>
        <v>1075</v>
      </c>
      <c r="E4" s="7" t="s">
        <v>236</v>
      </c>
      <c r="F4" s="7">
        <f>SUM(G4:T4)</f>
        <v>70</v>
      </c>
      <c r="G4" s="7"/>
      <c r="H4" s="90">
        <v>70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45124</v>
      </c>
      <c r="B5" s="7"/>
      <c r="C5" s="7" t="s">
        <v>15</v>
      </c>
      <c r="D5" s="7">
        <f>1038+1693</f>
        <v>2731</v>
      </c>
      <c r="E5" s="7" t="s">
        <v>83</v>
      </c>
      <c r="F5" s="7">
        <f t="shared" ref="F5:F38" si="0">SUM(G5:T5)</f>
        <v>10</v>
      </c>
      <c r="G5" s="7"/>
      <c r="H5" s="90"/>
      <c r="I5" s="7"/>
      <c r="J5" s="7"/>
      <c r="K5" s="7"/>
      <c r="L5" s="7"/>
      <c r="M5" s="7"/>
      <c r="N5" s="7"/>
      <c r="O5" s="7"/>
      <c r="P5" s="7">
        <v>10</v>
      </c>
      <c r="Q5" s="7"/>
      <c r="R5" s="7"/>
      <c r="S5" s="7"/>
      <c r="T5" s="7"/>
    </row>
    <row r="6" spans="1:20" ht="25.5" customHeight="1" x14ac:dyDescent="0.25">
      <c r="A6" s="68">
        <v>45124</v>
      </c>
      <c r="B6" s="7"/>
      <c r="C6" s="7" t="s">
        <v>16</v>
      </c>
      <c r="D6" s="7">
        <v>0</v>
      </c>
      <c r="E6" s="7" t="s">
        <v>237</v>
      </c>
      <c r="F6" s="7">
        <f t="shared" si="0"/>
        <v>20</v>
      </c>
      <c r="G6" s="7"/>
      <c r="H6" s="90">
        <v>20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45124</v>
      </c>
      <c r="B7" s="7"/>
      <c r="C7" s="7" t="s">
        <v>17</v>
      </c>
      <c r="D7" s="7">
        <f>80+55</f>
        <v>135</v>
      </c>
      <c r="E7" s="7" t="s">
        <v>238</v>
      </c>
      <c r="F7" s="7">
        <f t="shared" si="0"/>
        <v>100</v>
      </c>
      <c r="G7" s="7"/>
      <c r="H7" s="90"/>
      <c r="I7" s="7"/>
      <c r="J7" s="7"/>
      <c r="K7" s="7"/>
      <c r="L7" s="7"/>
      <c r="M7" s="7"/>
      <c r="N7" s="7"/>
      <c r="O7" s="7"/>
      <c r="P7" s="7"/>
      <c r="Q7" s="7"/>
      <c r="R7" s="7">
        <v>100</v>
      </c>
      <c r="S7" s="7"/>
      <c r="T7" s="7"/>
    </row>
    <row r="8" spans="1:20" ht="25.5" customHeight="1" x14ac:dyDescent="0.25">
      <c r="A8" s="68">
        <v>45124</v>
      </c>
      <c r="B8" s="7"/>
      <c r="C8" s="7" t="s">
        <v>18</v>
      </c>
      <c r="D8" s="7">
        <f>20+25+30+1500+95+150</f>
        <v>1820</v>
      </c>
      <c r="E8" s="7" t="s">
        <v>125</v>
      </c>
      <c r="F8" s="7">
        <f t="shared" si="0"/>
        <v>135</v>
      </c>
      <c r="G8" s="7"/>
      <c r="H8" s="90"/>
      <c r="I8" s="7"/>
      <c r="J8" s="7"/>
      <c r="K8" s="7"/>
      <c r="L8" s="7">
        <f>90+45</f>
        <v>135</v>
      </c>
      <c r="M8" s="7"/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45124</v>
      </c>
      <c r="B9" s="7"/>
      <c r="C9" s="7" t="s">
        <v>30</v>
      </c>
      <c r="D9" s="7">
        <v>0</v>
      </c>
      <c r="E9" s="7" t="s">
        <v>129</v>
      </c>
      <c r="F9" s="7">
        <f t="shared" si="0"/>
        <v>255</v>
      </c>
      <c r="G9" s="7"/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>
        <v>255</v>
      </c>
    </row>
    <row r="10" spans="1:20" ht="25.5" customHeight="1" x14ac:dyDescent="0.25">
      <c r="A10" s="68">
        <v>45124</v>
      </c>
      <c r="B10" s="7"/>
      <c r="C10" s="7" t="s">
        <v>46</v>
      </c>
      <c r="D10" s="7">
        <v>0</v>
      </c>
      <c r="E10" s="7" t="s">
        <v>239</v>
      </c>
      <c r="F10" s="7">
        <f t="shared" si="0"/>
        <v>20</v>
      </c>
      <c r="G10" s="7"/>
      <c r="H10" s="90"/>
      <c r="I10" s="7"/>
      <c r="J10" s="7"/>
      <c r="K10" s="7"/>
      <c r="L10" s="7"/>
      <c r="M10" s="7"/>
      <c r="N10" s="7">
        <v>20</v>
      </c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45124</v>
      </c>
      <c r="B11" s="7"/>
      <c r="C11" s="7"/>
      <c r="D11" s="7"/>
      <c r="E11" s="7" t="s">
        <v>88</v>
      </c>
      <c r="F11" s="7">
        <f t="shared" si="0"/>
        <v>160</v>
      </c>
      <c r="G11" s="7">
        <v>160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45124</v>
      </c>
      <c r="B12" s="7"/>
      <c r="C12" s="7"/>
      <c r="D12" s="7"/>
      <c r="E12" s="7" t="s">
        <v>86</v>
      </c>
      <c r="F12" s="7">
        <f t="shared" si="0"/>
        <v>170</v>
      </c>
      <c r="G12" s="7">
        <v>170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45124</v>
      </c>
      <c r="B13" s="7"/>
      <c r="C13" s="7"/>
      <c r="D13" s="7"/>
      <c r="E13" s="7" t="s">
        <v>87</v>
      </c>
      <c r="F13" s="7">
        <f t="shared" si="0"/>
        <v>150</v>
      </c>
      <c r="G13" s="7">
        <v>150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45124</v>
      </c>
      <c r="B14" s="7"/>
      <c r="C14" s="7"/>
      <c r="D14" s="7"/>
      <c r="E14" s="7" t="s">
        <v>92</v>
      </c>
      <c r="F14" s="7">
        <f t="shared" si="0"/>
        <v>100</v>
      </c>
      <c r="G14" s="7">
        <v>100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45124</v>
      </c>
      <c r="B15" s="7"/>
      <c r="C15" s="7"/>
      <c r="D15" s="7"/>
      <c r="E15" s="7" t="s">
        <v>90</v>
      </c>
      <c r="F15" s="7">
        <f t="shared" si="0"/>
        <v>50</v>
      </c>
      <c r="G15" s="7">
        <v>50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45124</v>
      </c>
      <c r="B16" s="7"/>
      <c r="C16" s="7"/>
      <c r="D16" s="7"/>
      <c r="E16" s="7" t="s">
        <v>181</v>
      </c>
      <c r="F16" s="7">
        <f t="shared" si="0"/>
        <v>30</v>
      </c>
      <c r="G16" s="7">
        <v>30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45124</v>
      </c>
      <c r="B17" s="7"/>
      <c r="C17" s="7"/>
      <c r="D17" s="7"/>
      <c r="E17" s="7" t="s">
        <v>96</v>
      </c>
      <c r="F17" s="7">
        <f t="shared" si="0"/>
        <v>170</v>
      </c>
      <c r="G17" s="7">
        <v>170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45124</v>
      </c>
      <c r="B18" s="7"/>
      <c r="C18" s="7"/>
      <c r="D18" s="7"/>
      <c r="E18" s="7" t="s">
        <v>104</v>
      </c>
      <c r="F18" s="7">
        <f t="shared" si="0"/>
        <v>50</v>
      </c>
      <c r="G18" s="7">
        <v>50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45124</v>
      </c>
      <c r="B19" s="7"/>
      <c r="C19" s="7"/>
      <c r="D19" s="7"/>
      <c r="E19" s="7" t="s">
        <v>107</v>
      </c>
      <c r="F19" s="7">
        <f t="shared" si="0"/>
        <v>30</v>
      </c>
      <c r="G19" s="7">
        <v>30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/>
      <c r="B20" s="7"/>
      <c r="C20" s="7"/>
      <c r="D20" s="7"/>
      <c r="E20" s="7" t="s">
        <v>89</v>
      </c>
      <c r="F20" s="7">
        <f t="shared" si="0"/>
        <v>150</v>
      </c>
      <c r="G20" s="7">
        <v>150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/>
      <c r="B21" s="7"/>
      <c r="C21" s="7"/>
      <c r="D21" s="7"/>
      <c r="E21" s="7" t="s">
        <v>91</v>
      </c>
      <c r="F21" s="7">
        <f t="shared" si="0"/>
        <v>200</v>
      </c>
      <c r="G21" s="7">
        <v>200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/>
      <c r="B22" s="7"/>
      <c r="C22" s="7"/>
      <c r="D22" s="7"/>
      <c r="E22" s="7" t="s">
        <v>103</v>
      </c>
      <c r="F22" s="7">
        <f t="shared" si="0"/>
        <v>160</v>
      </c>
      <c r="G22" s="7">
        <v>160</v>
      </c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/>
      <c r="B23" s="7"/>
      <c r="C23" s="7"/>
      <c r="D23" s="7"/>
      <c r="E23" s="7" t="s">
        <v>98</v>
      </c>
      <c r="F23" s="7">
        <f t="shared" si="0"/>
        <v>120</v>
      </c>
      <c r="G23" s="7">
        <v>120</v>
      </c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 t="s">
        <v>99</v>
      </c>
      <c r="F24" s="7">
        <f t="shared" si="0"/>
        <v>150</v>
      </c>
      <c r="G24" s="7">
        <v>150</v>
      </c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5761</v>
      </c>
      <c r="E39" s="119"/>
      <c r="F39" s="7">
        <f>SUM(F4:F38)</f>
        <v>2300</v>
      </c>
      <c r="G39" s="7">
        <f t="shared" ref="G39:T39" si="1">SUM(G4:G38)</f>
        <v>1690</v>
      </c>
      <c r="H39" s="90">
        <f t="shared" si="1"/>
        <v>90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135</v>
      </c>
      <c r="M39" s="7">
        <f t="shared" si="1"/>
        <v>0</v>
      </c>
      <c r="N39" s="7">
        <f t="shared" si="1"/>
        <v>20</v>
      </c>
      <c r="O39" s="7">
        <f t="shared" si="1"/>
        <v>0</v>
      </c>
      <c r="P39" s="7">
        <f t="shared" si="1"/>
        <v>10</v>
      </c>
      <c r="Q39" s="7">
        <f t="shared" si="1"/>
        <v>0</v>
      </c>
      <c r="R39" s="7">
        <f t="shared" si="1"/>
        <v>100</v>
      </c>
      <c r="S39" s="7">
        <f t="shared" si="1"/>
        <v>0</v>
      </c>
      <c r="T39" s="7">
        <f t="shared" si="1"/>
        <v>255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5761</v>
      </c>
      <c r="C42" s="8"/>
      <c r="E42" s="6">
        <v>200</v>
      </c>
      <c r="F42" s="7">
        <v>1</v>
      </c>
      <c r="G42" s="8">
        <f t="shared" ref="G42:G48" si="2">+E42*F42</f>
        <v>200</v>
      </c>
    </row>
    <row r="43" spans="1:20" ht="46.5" customHeight="1" x14ac:dyDescent="0.25">
      <c r="A43" s="10" t="s">
        <v>20</v>
      </c>
      <c r="B43" s="7">
        <f>D8</f>
        <v>1820</v>
      </c>
      <c r="C43" s="8"/>
      <c r="E43" s="6">
        <v>100</v>
      </c>
      <c r="F43" s="7">
        <v>10</v>
      </c>
      <c r="G43" s="8">
        <f t="shared" si="2"/>
        <v>1000</v>
      </c>
    </row>
    <row r="44" spans="1:20" ht="46.5" customHeight="1" x14ac:dyDescent="0.25">
      <c r="A44" s="10" t="s">
        <v>21</v>
      </c>
      <c r="B44" s="7">
        <f>F39</f>
        <v>2300</v>
      </c>
      <c r="C44" s="8"/>
      <c r="E44" s="6">
        <v>50</v>
      </c>
      <c r="F44" s="7">
        <v>7</v>
      </c>
      <c r="G44" s="8">
        <f t="shared" si="2"/>
        <v>350</v>
      </c>
    </row>
    <row r="45" spans="1:20" ht="51.75" customHeight="1" x14ac:dyDescent="0.25">
      <c r="A45" s="10" t="s">
        <v>22</v>
      </c>
      <c r="B45" s="12">
        <f>+B42-B43-B44</f>
        <v>1641</v>
      </c>
      <c r="C45" s="13"/>
      <c r="E45" s="6">
        <v>20</v>
      </c>
      <c r="F45" s="7">
        <v>4</v>
      </c>
      <c r="G45" s="8">
        <f t="shared" si="2"/>
        <v>80</v>
      </c>
    </row>
    <row r="46" spans="1:20" ht="46.5" customHeight="1" x14ac:dyDescent="0.25">
      <c r="A46" s="10" t="s">
        <v>23</v>
      </c>
      <c r="B46" s="12">
        <f>G49</f>
        <v>1641</v>
      </c>
      <c r="C46" s="13"/>
      <c r="D46" s="1"/>
      <c r="E46" s="6">
        <v>10</v>
      </c>
      <c r="F46" s="7"/>
      <c r="G46" s="8">
        <f t="shared" si="2"/>
        <v>0</v>
      </c>
    </row>
    <row r="47" spans="1:20" ht="34.5" customHeight="1" x14ac:dyDescent="0.25">
      <c r="A47" s="10" t="s">
        <v>24</v>
      </c>
      <c r="B47" s="30">
        <f>IF(B45&lt;B46,B46-B45,0)</f>
        <v>0</v>
      </c>
      <c r="C47" s="13"/>
      <c r="E47" s="6">
        <v>5</v>
      </c>
      <c r="F47" s="7">
        <v>1</v>
      </c>
      <c r="G47" s="8">
        <f t="shared" si="2"/>
        <v>5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6</v>
      </c>
      <c r="G48" s="8">
        <f t="shared" si="2"/>
        <v>6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1641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1"/>
  <sheetViews>
    <sheetView rightToLeft="1" topLeftCell="A43" zoomScale="85" zoomScaleNormal="85" workbookViewId="0">
      <selection activeCell="D50" sqref="D50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9" bestFit="1" customWidth="1"/>
    <col min="16" max="16" width="18.5703125" bestFit="1" customWidth="1"/>
    <col min="17" max="17" width="10.5703125" customWidth="1"/>
    <col min="18" max="18" width="18.8554687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45125</v>
      </c>
      <c r="B4" s="7"/>
      <c r="C4" s="7" t="s">
        <v>14</v>
      </c>
      <c r="D4" s="7">
        <f>642+173</f>
        <v>815</v>
      </c>
      <c r="E4" s="7" t="s">
        <v>141</v>
      </c>
      <c r="F4" s="7">
        <f>SUM(G4:T4)</f>
        <v>55</v>
      </c>
      <c r="G4" s="7"/>
      <c r="H4" s="90">
        <v>55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45125</v>
      </c>
      <c r="B5" s="7"/>
      <c r="C5" s="7" t="s">
        <v>15</v>
      </c>
      <c r="D5" s="7">
        <f>1270+1326</f>
        <v>2596</v>
      </c>
      <c r="E5" s="7" t="s">
        <v>241</v>
      </c>
      <c r="F5" s="7">
        <f t="shared" ref="F5:F38" si="0">SUM(G5:T5)</f>
        <v>110</v>
      </c>
      <c r="G5" s="7"/>
      <c r="H5" s="90"/>
      <c r="I5" s="7"/>
      <c r="J5" s="7"/>
      <c r="K5" s="7"/>
      <c r="L5" s="7">
        <v>110</v>
      </c>
      <c r="M5" s="7"/>
      <c r="N5" s="7"/>
      <c r="O5" s="7"/>
      <c r="P5" s="7"/>
      <c r="Q5" s="7"/>
      <c r="R5" s="7"/>
      <c r="S5" s="7"/>
      <c r="T5" s="7"/>
    </row>
    <row r="6" spans="1:20" ht="25.5" customHeight="1" x14ac:dyDescent="0.25">
      <c r="A6" s="68">
        <v>45125</v>
      </c>
      <c r="B6" s="7"/>
      <c r="C6" s="7" t="s">
        <v>16</v>
      </c>
      <c r="D6" s="7">
        <v>0</v>
      </c>
      <c r="E6" s="7" t="s">
        <v>145</v>
      </c>
      <c r="F6" s="7">
        <f t="shared" si="0"/>
        <v>135</v>
      </c>
      <c r="G6" s="7"/>
      <c r="H6" s="90"/>
      <c r="I6" s="7"/>
      <c r="J6" s="7"/>
      <c r="K6" s="7"/>
      <c r="L6" s="7">
        <f>90+45</f>
        <v>135</v>
      </c>
      <c r="M6" s="7"/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45125</v>
      </c>
      <c r="B7" s="7"/>
      <c r="C7" s="7" t="s">
        <v>17</v>
      </c>
      <c r="D7" s="7">
        <v>125</v>
      </c>
      <c r="E7" s="7" t="s">
        <v>124</v>
      </c>
      <c r="F7" s="7">
        <f t="shared" si="0"/>
        <v>45</v>
      </c>
      <c r="G7" s="7"/>
      <c r="H7" s="90"/>
      <c r="I7" s="7"/>
      <c r="J7" s="7"/>
      <c r="K7" s="7"/>
      <c r="L7" s="7"/>
      <c r="M7" s="7">
        <v>45</v>
      </c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45125</v>
      </c>
      <c r="B8" s="7"/>
      <c r="C8" s="7" t="s">
        <v>18</v>
      </c>
      <c r="D8" s="7">
        <f>20+85+45+265</f>
        <v>415</v>
      </c>
      <c r="E8" s="7" t="s">
        <v>242</v>
      </c>
      <c r="F8" s="7">
        <f t="shared" si="0"/>
        <v>15</v>
      </c>
      <c r="G8" s="7"/>
      <c r="H8" s="90"/>
      <c r="I8" s="7"/>
      <c r="J8" s="7"/>
      <c r="K8" s="7"/>
      <c r="L8" s="7"/>
      <c r="M8" s="7"/>
      <c r="N8" s="7"/>
      <c r="O8" s="7"/>
      <c r="P8" s="7">
        <v>15</v>
      </c>
      <c r="Q8" s="7"/>
      <c r="R8" s="7"/>
      <c r="S8" s="7"/>
      <c r="T8" s="7"/>
    </row>
    <row r="9" spans="1:20" ht="25.5" customHeight="1" x14ac:dyDescent="0.25">
      <c r="A9" s="68">
        <v>45125</v>
      </c>
      <c r="B9" s="7"/>
      <c r="C9" s="7" t="s">
        <v>30</v>
      </c>
      <c r="D9" s="7">
        <v>0</v>
      </c>
      <c r="E9" s="7" t="s">
        <v>182</v>
      </c>
      <c r="F9" s="7">
        <f t="shared" si="0"/>
        <v>200</v>
      </c>
      <c r="G9" s="7">
        <v>200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45125</v>
      </c>
      <c r="B10" s="7"/>
      <c r="C10" s="7" t="s">
        <v>46</v>
      </c>
      <c r="D10" s="7">
        <v>0</v>
      </c>
      <c r="E10" s="7" t="s">
        <v>100</v>
      </c>
      <c r="F10" s="7">
        <f t="shared" si="0"/>
        <v>160</v>
      </c>
      <c r="G10" s="7">
        <v>160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45125</v>
      </c>
      <c r="B11" s="7"/>
      <c r="C11" s="7"/>
      <c r="D11" s="7"/>
      <c r="E11" s="7" t="s">
        <v>87</v>
      </c>
      <c r="F11" s="7">
        <f t="shared" si="0"/>
        <v>150</v>
      </c>
      <c r="G11" s="7">
        <v>150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45125</v>
      </c>
      <c r="B12" s="7"/>
      <c r="C12" s="7"/>
      <c r="D12" s="7"/>
      <c r="E12" s="7" t="s">
        <v>86</v>
      </c>
      <c r="F12" s="7">
        <f t="shared" si="0"/>
        <v>170</v>
      </c>
      <c r="G12" s="7">
        <v>170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45125</v>
      </c>
      <c r="B13" s="7"/>
      <c r="C13" s="7"/>
      <c r="D13" s="7"/>
      <c r="E13" s="7" t="s">
        <v>88</v>
      </c>
      <c r="F13" s="7">
        <f t="shared" si="0"/>
        <v>160</v>
      </c>
      <c r="G13" s="7">
        <v>160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45125</v>
      </c>
      <c r="B14" s="7"/>
      <c r="C14" s="7"/>
      <c r="D14" s="7"/>
      <c r="E14" s="7" t="s">
        <v>92</v>
      </c>
      <c r="F14" s="7">
        <f t="shared" si="0"/>
        <v>100</v>
      </c>
      <c r="G14" s="7">
        <v>100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45125</v>
      </c>
      <c r="B15" s="7"/>
      <c r="C15" s="7"/>
      <c r="D15" s="7"/>
      <c r="E15" s="7" t="s">
        <v>158</v>
      </c>
      <c r="F15" s="7">
        <f t="shared" si="0"/>
        <v>50</v>
      </c>
      <c r="G15" s="7">
        <v>50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45125</v>
      </c>
      <c r="B16" s="7"/>
      <c r="C16" s="7"/>
      <c r="D16" s="7"/>
      <c r="E16" s="7" t="s">
        <v>181</v>
      </c>
      <c r="F16" s="7">
        <f t="shared" si="0"/>
        <v>30</v>
      </c>
      <c r="G16" s="7">
        <v>30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45125</v>
      </c>
      <c r="B17" s="7"/>
      <c r="C17" s="7"/>
      <c r="D17" s="7"/>
      <c r="E17" s="7" t="s">
        <v>107</v>
      </c>
      <c r="F17" s="7">
        <f t="shared" si="0"/>
        <v>30</v>
      </c>
      <c r="G17" s="7">
        <v>30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/>
      <c r="B18" s="7"/>
      <c r="C18" s="7"/>
      <c r="D18" s="7"/>
      <c r="E18" s="7" t="s">
        <v>104</v>
      </c>
      <c r="F18" s="7">
        <f t="shared" si="0"/>
        <v>50</v>
      </c>
      <c r="G18" s="7">
        <v>50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/>
      <c r="B19" s="7"/>
      <c r="C19" s="7"/>
      <c r="D19" s="7"/>
      <c r="E19" s="7" t="s">
        <v>98</v>
      </c>
      <c r="F19" s="7">
        <f t="shared" si="0"/>
        <v>120</v>
      </c>
      <c r="G19" s="7">
        <v>120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/>
      <c r="B20" s="7"/>
      <c r="C20" s="7"/>
      <c r="D20" s="7"/>
      <c r="E20" s="7" t="s">
        <v>99</v>
      </c>
      <c r="F20" s="7">
        <f t="shared" si="0"/>
        <v>150</v>
      </c>
      <c r="G20" s="7">
        <v>150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/>
      <c r="B21" s="7"/>
      <c r="C21" s="7"/>
      <c r="D21" s="7"/>
      <c r="E21" s="7" t="s">
        <v>96</v>
      </c>
      <c r="F21" s="7">
        <f t="shared" si="0"/>
        <v>170</v>
      </c>
      <c r="G21" s="7">
        <v>170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/>
      <c r="B22" s="7"/>
      <c r="C22" s="7"/>
      <c r="D22" s="7"/>
      <c r="E22" s="7"/>
      <c r="F22" s="7">
        <f t="shared" si="0"/>
        <v>0</v>
      </c>
      <c r="G22" s="7"/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/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3951</v>
      </c>
      <c r="E39" s="119"/>
      <c r="F39" s="7">
        <f>SUM(F4:F38)</f>
        <v>1900</v>
      </c>
      <c r="G39" s="7">
        <f t="shared" ref="G39:T39" si="1">SUM(G4:G38)</f>
        <v>1540</v>
      </c>
      <c r="H39" s="90">
        <f t="shared" si="1"/>
        <v>55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245</v>
      </c>
      <c r="M39" s="7">
        <f t="shared" si="1"/>
        <v>45</v>
      </c>
      <c r="N39" s="7">
        <f t="shared" si="1"/>
        <v>0</v>
      </c>
      <c r="O39" s="7">
        <f t="shared" si="1"/>
        <v>0</v>
      </c>
      <c r="P39" s="7">
        <f t="shared" si="1"/>
        <v>15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3951</v>
      </c>
      <c r="C42" s="8"/>
      <c r="E42" s="6">
        <v>200</v>
      </c>
      <c r="F42" s="7">
        <v>1</v>
      </c>
      <c r="G42" s="8">
        <f t="shared" ref="G42:G48" si="2">+E42*F42</f>
        <v>200</v>
      </c>
    </row>
    <row r="43" spans="1:20" ht="46.5" customHeight="1" x14ac:dyDescent="0.25">
      <c r="A43" s="10" t="s">
        <v>20</v>
      </c>
      <c r="B43" s="7">
        <f>D8</f>
        <v>415</v>
      </c>
      <c r="C43" s="8"/>
      <c r="E43" s="6">
        <v>100</v>
      </c>
      <c r="F43" s="7">
        <v>8</v>
      </c>
      <c r="G43" s="8">
        <f t="shared" si="2"/>
        <v>800</v>
      </c>
    </row>
    <row r="44" spans="1:20" ht="46.5" customHeight="1" x14ac:dyDescent="0.25">
      <c r="A44" s="10" t="s">
        <v>21</v>
      </c>
      <c r="B44" s="7">
        <f>F39</f>
        <v>1900</v>
      </c>
      <c r="C44" s="8"/>
      <c r="E44" s="6">
        <v>50</v>
      </c>
      <c r="F44" s="7">
        <v>8</v>
      </c>
      <c r="G44" s="8">
        <f t="shared" si="2"/>
        <v>400</v>
      </c>
    </row>
    <row r="45" spans="1:20" ht="51.75" customHeight="1" x14ac:dyDescent="0.25">
      <c r="A45" s="10" t="s">
        <v>22</v>
      </c>
      <c r="B45" s="12">
        <f>+B42-B43-B44</f>
        <v>1636</v>
      </c>
      <c r="C45" s="13"/>
      <c r="E45" s="6">
        <v>20</v>
      </c>
      <c r="F45" s="7">
        <v>5</v>
      </c>
      <c r="G45" s="8">
        <f t="shared" si="2"/>
        <v>100</v>
      </c>
    </row>
    <row r="46" spans="1:20" ht="46.5" customHeight="1" x14ac:dyDescent="0.25">
      <c r="A46" s="10" t="s">
        <v>23</v>
      </c>
      <c r="B46" s="12">
        <f>G49</f>
        <v>1636</v>
      </c>
      <c r="C46" s="13"/>
      <c r="D46" s="1"/>
      <c r="E46" s="6">
        <v>10</v>
      </c>
      <c r="F46" s="7">
        <v>13</v>
      </c>
      <c r="G46" s="8">
        <f t="shared" si="2"/>
        <v>130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1</v>
      </c>
      <c r="G47" s="8">
        <f t="shared" si="2"/>
        <v>5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1</v>
      </c>
      <c r="G48" s="8">
        <f t="shared" si="2"/>
        <v>1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1636</v>
      </c>
    </row>
    <row r="50" spans="1:7" ht="15.75" customHeight="1" thickTop="1" x14ac:dyDescent="0.25"/>
    <row r="51" spans="1:7" ht="15" customHeight="1" x14ac:dyDescent="0.25"/>
  </sheetData>
  <mergeCells count="3">
    <mergeCell ref="E49:F49"/>
    <mergeCell ref="E2:L2"/>
    <mergeCell ref="A39:C39"/>
  </mergeCells>
  <printOptions horizontalCentered="1" verticalCentered="1"/>
  <pageMargins left="0" right="0" top="0" bottom="0" header="0" footer="0"/>
  <pageSetup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E2" zoomScale="71" zoomScaleNormal="71" workbookViewId="0">
      <pane ySplit="2" topLeftCell="A31" activePane="bottomLeft" state="frozen"/>
      <selection activeCell="H16" sqref="H16"/>
      <selection pane="bottomLeft" activeCell="K46" sqref="K46"/>
    </sheetView>
  </sheetViews>
  <sheetFormatPr defaultRowHeight="15" x14ac:dyDescent="0.25"/>
  <cols>
    <col min="1" max="1" width="25.28515625" bestFit="1" customWidth="1"/>
    <col min="2" max="2" width="19.140625" customWidth="1"/>
    <col min="3" max="3" width="20.85546875" customWidth="1"/>
    <col min="4" max="4" width="24.28515625" bestFit="1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9" bestFit="1" customWidth="1"/>
    <col min="17" max="17" width="10.5703125" customWidth="1"/>
    <col min="18" max="18" width="18.42578125" bestFit="1" customWidth="1"/>
    <col min="19" max="19" width="10.8554687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33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45108</v>
      </c>
      <c r="B4" s="7"/>
      <c r="C4" s="7" t="s">
        <v>14</v>
      </c>
      <c r="D4" s="7">
        <v>848</v>
      </c>
      <c r="E4" s="7" t="s">
        <v>82</v>
      </c>
      <c r="F4" s="7">
        <f>SUM(G4:T4)</f>
        <v>10</v>
      </c>
      <c r="G4" s="7"/>
      <c r="H4" s="90"/>
      <c r="I4" s="7"/>
      <c r="J4" s="7"/>
      <c r="K4" s="7"/>
      <c r="L4" s="7"/>
      <c r="M4" s="7"/>
      <c r="N4" s="7"/>
      <c r="O4" s="7"/>
      <c r="P4" s="7">
        <v>10</v>
      </c>
      <c r="Q4" s="7"/>
      <c r="R4" s="7"/>
      <c r="S4" s="7"/>
      <c r="T4" s="7"/>
    </row>
    <row r="5" spans="1:20" ht="25.5" customHeight="1" x14ac:dyDescent="0.25">
      <c r="A5" s="68">
        <v>45108</v>
      </c>
      <c r="B5" s="7"/>
      <c r="C5" s="7" t="s">
        <v>15</v>
      </c>
      <c r="D5" s="7">
        <v>2168</v>
      </c>
      <c r="E5" s="7" t="s">
        <v>83</v>
      </c>
      <c r="F5" s="7">
        <f t="shared" ref="F5:F38" si="0">SUM(G5:T5)</f>
        <v>10</v>
      </c>
      <c r="G5" s="7"/>
      <c r="H5" s="90"/>
      <c r="I5" s="7"/>
      <c r="J5" s="7"/>
      <c r="K5" s="7"/>
      <c r="L5" s="7"/>
      <c r="M5" s="7"/>
      <c r="N5" s="7"/>
      <c r="O5" s="7"/>
      <c r="P5" s="7">
        <v>10</v>
      </c>
      <c r="Q5" s="7"/>
      <c r="R5" s="7"/>
      <c r="S5" s="7"/>
      <c r="T5" s="7"/>
    </row>
    <row r="6" spans="1:20" ht="25.5" customHeight="1" x14ac:dyDescent="0.25">
      <c r="A6" s="68">
        <v>45108</v>
      </c>
      <c r="B6" s="7"/>
      <c r="C6" s="7" t="s">
        <v>16</v>
      </c>
      <c r="D6" s="7">
        <v>0</v>
      </c>
      <c r="E6" s="7" t="s">
        <v>84</v>
      </c>
      <c r="F6" s="7">
        <f t="shared" si="0"/>
        <v>165</v>
      </c>
      <c r="G6" s="7"/>
      <c r="H6" s="90"/>
      <c r="I6" s="7"/>
      <c r="J6" s="7"/>
      <c r="K6" s="7"/>
      <c r="L6" s="7"/>
      <c r="M6" s="7"/>
      <c r="N6" s="7"/>
      <c r="O6" s="7">
        <v>165</v>
      </c>
      <c r="P6" s="7"/>
      <c r="Q6" s="7"/>
      <c r="R6" s="7"/>
      <c r="S6" s="7"/>
      <c r="T6" s="7"/>
    </row>
    <row r="7" spans="1:20" ht="25.5" customHeight="1" x14ac:dyDescent="0.25">
      <c r="A7" s="68">
        <v>45108</v>
      </c>
      <c r="B7" s="7"/>
      <c r="C7" s="7" t="s">
        <v>17</v>
      </c>
      <c r="D7" s="7">
        <v>0</v>
      </c>
      <c r="E7" s="7" t="s">
        <v>12</v>
      </c>
      <c r="F7" s="7">
        <f t="shared" si="0"/>
        <v>45</v>
      </c>
      <c r="G7" s="7"/>
      <c r="H7" s="90"/>
      <c r="I7" s="7"/>
      <c r="J7" s="7"/>
      <c r="K7" s="7"/>
      <c r="L7" s="7">
        <v>45</v>
      </c>
      <c r="M7" s="7"/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45108</v>
      </c>
      <c r="B8" s="7"/>
      <c r="C8" s="7" t="s">
        <v>18</v>
      </c>
      <c r="D8" s="7">
        <v>0</v>
      </c>
      <c r="E8" s="7" t="s">
        <v>85</v>
      </c>
      <c r="F8" s="7">
        <f t="shared" si="0"/>
        <v>555</v>
      </c>
      <c r="G8" s="7"/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>
        <v>555</v>
      </c>
    </row>
    <row r="9" spans="1:20" ht="25.5" customHeight="1" x14ac:dyDescent="0.25">
      <c r="A9" s="68">
        <v>45108</v>
      </c>
      <c r="B9" s="7"/>
      <c r="C9" s="7" t="s">
        <v>30</v>
      </c>
      <c r="D9" s="7">
        <v>0</v>
      </c>
      <c r="E9" s="7" t="s">
        <v>86</v>
      </c>
      <c r="F9" s="7">
        <f t="shared" si="0"/>
        <v>170</v>
      </c>
      <c r="G9" s="7">
        <v>170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45108</v>
      </c>
      <c r="B10" s="7"/>
      <c r="C10" s="7" t="s">
        <v>46</v>
      </c>
      <c r="D10" s="7">
        <v>0</v>
      </c>
      <c r="E10" s="7" t="s">
        <v>87</v>
      </c>
      <c r="F10" s="7">
        <f t="shared" si="0"/>
        <v>150</v>
      </c>
      <c r="G10" s="7">
        <v>150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45108</v>
      </c>
      <c r="B11" s="7"/>
      <c r="C11" s="7"/>
      <c r="D11" s="7"/>
      <c r="E11" s="7" t="s">
        <v>88</v>
      </c>
      <c r="F11" s="7">
        <f t="shared" si="0"/>
        <v>160</v>
      </c>
      <c r="G11" s="7">
        <v>160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45108</v>
      </c>
      <c r="B12" s="7"/>
      <c r="C12" s="7"/>
      <c r="D12" s="7"/>
      <c r="E12" s="7" t="s">
        <v>89</v>
      </c>
      <c r="F12" s="7">
        <f t="shared" si="0"/>
        <v>150</v>
      </c>
      <c r="G12" s="7">
        <v>150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45108</v>
      </c>
      <c r="B13" s="7"/>
      <c r="C13" s="7"/>
      <c r="D13" s="7"/>
      <c r="E13" s="7" t="s">
        <v>90</v>
      </c>
      <c r="F13" s="7">
        <f t="shared" si="0"/>
        <v>50</v>
      </c>
      <c r="G13" s="7">
        <v>50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45108</v>
      </c>
      <c r="B14" s="7"/>
      <c r="C14" s="7"/>
      <c r="D14" s="7"/>
      <c r="E14" s="7" t="s">
        <v>91</v>
      </c>
      <c r="F14" s="7">
        <f t="shared" si="0"/>
        <v>200</v>
      </c>
      <c r="G14" s="7">
        <v>200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45108</v>
      </c>
      <c r="B15" s="7"/>
      <c r="C15" s="7"/>
      <c r="D15" s="7"/>
      <c r="E15" s="7" t="s">
        <v>92</v>
      </c>
      <c r="F15" s="7">
        <f t="shared" si="0"/>
        <v>100</v>
      </c>
      <c r="G15" s="7">
        <v>100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45108</v>
      </c>
      <c r="B16" s="7"/>
      <c r="C16" s="7"/>
      <c r="D16" s="7"/>
      <c r="E16" s="7" t="s">
        <v>93</v>
      </c>
      <c r="F16" s="7">
        <f t="shared" si="0"/>
        <v>50</v>
      </c>
      <c r="G16" s="7">
        <v>50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45108</v>
      </c>
      <c r="B17" s="7"/>
      <c r="C17" s="7"/>
      <c r="D17" s="7"/>
      <c r="E17" s="7" t="s">
        <v>94</v>
      </c>
      <c r="F17" s="7">
        <f t="shared" si="0"/>
        <v>30</v>
      </c>
      <c r="G17" s="7">
        <v>30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45108</v>
      </c>
      <c r="B18" s="7"/>
      <c r="C18" s="7"/>
      <c r="D18" s="7"/>
      <c r="E18" s="7" t="s">
        <v>95</v>
      </c>
      <c r="F18" s="7">
        <f t="shared" si="0"/>
        <v>100</v>
      </c>
      <c r="G18" s="7">
        <v>100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45108</v>
      </c>
      <c r="B19" s="7"/>
      <c r="C19" s="7"/>
      <c r="D19" s="7"/>
      <c r="E19" s="7" t="s">
        <v>96</v>
      </c>
      <c r="F19" s="7">
        <f t="shared" si="0"/>
        <v>170</v>
      </c>
      <c r="G19" s="7">
        <v>170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45108</v>
      </c>
      <c r="B20" s="7"/>
      <c r="C20" s="7"/>
      <c r="D20" s="7"/>
      <c r="E20" s="7" t="s">
        <v>97</v>
      </c>
      <c r="F20" s="7">
        <f t="shared" si="0"/>
        <v>50</v>
      </c>
      <c r="G20" s="7">
        <v>50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45108</v>
      </c>
      <c r="B21" s="7"/>
      <c r="C21" s="7"/>
      <c r="D21" s="7"/>
      <c r="E21" s="7" t="s">
        <v>98</v>
      </c>
      <c r="F21" s="7">
        <f t="shared" si="0"/>
        <v>120</v>
      </c>
      <c r="G21" s="7">
        <v>120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45108</v>
      </c>
      <c r="B22" s="7"/>
      <c r="C22" s="7"/>
      <c r="D22" s="7"/>
      <c r="E22" s="7" t="s">
        <v>99</v>
      </c>
      <c r="F22" s="7">
        <f t="shared" si="0"/>
        <v>120</v>
      </c>
      <c r="G22" s="7">
        <v>120</v>
      </c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45108</v>
      </c>
      <c r="B23" s="7"/>
      <c r="C23" s="7"/>
      <c r="D23" s="7"/>
      <c r="E23" s="7" t="s">
        <v>98</v>
      </c>
      <c r="F23" s="7">
        <f t="shared" si="0"/>
        <v>120</v>
      </c>
      <c r="G23" s="7">
        <v>120</v>
      </c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>
        <v>45108</v>
      </c>
      <c r="B24" s="7"/>
      <c r="C24" s="7"/>
      <c r="D24" s="7"/>
      <c r="E24" s="7" t="s">
        <v>97</v>
      </c>
      <c r="F24" s="7">
        <f t="shared" si="0"/>
        <v>50</v>
      </c>
      <c r="G24" s="7">
        <v>50</v>
      </c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>
        <v>45108</v>
      </c>
      <c r="B25" s="7"/>
      <c r="C25" s="7"/>
      <c r="D25" s="7"/>
      <c r="E25" s="7" t="s">
        <v>100</v>
      </c>
      <c r="F25" s="7">
        <f t="shared" si="0"/>
        <v>160</v>
      </c>
      <c r="G25" s="7">
        <v>160</v>
      </c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>
        <v>45108</v>
      </c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>
        <v>45108</v>
      </c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>
        <v>45108</v>
      </c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>
        <v>45108</v>
      </c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>
        <v>45108</v>
      </c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>
        <v>45108</v>
      </c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>
        <v>45108</v>
      </c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>
        <v>45108</v>
      </c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>
        <v>45108</v>
      </c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>
        <v>45108</v>
      </c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>
        <v>45108</v>
      </c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>
        <v>45108</v>
      </c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>
        <v>45108</v>
      </c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3016</v>
      </c>
      <c r="E39" s="119"/>
      <c r="F39" s="7">
        <f>SUM(F4:F38)</f>
        <v>2735</v>
      </c>
      <c r="G39" s="7">
        <f t="shared" ref="G39:T39" si="1">SUM(G4:G38)</f>
        <v>1950</v>
      </c>
      <c r="H39" s="90">
        <f t="shared" si="1"/>
        <v>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45</v>
      </c>
      <c r="M39" s="7">
        <f t="shared" si="1"/>
        <v>0</v>
      </c>
      <c r="N39" s="7">
        <f t="shared" si="1"/>
        <v>0</v>
      </c>
      <c r="O39" s="7">
        <f t="shared" si="1"/>
        <v>165</v>
      </c>
      <c r="P39" s="7">
        <f t="shared" si="1"/>
        <v>20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555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3016</v>
      </c>
      <c r="C42" s="8"/>
      <c r="E42" s="6">
        <v>200</v>
      </c>
      <c r="F42" s="7">
        <v>1</v>
      </c>
      <c r="G42" s="8">
        <f t="shared" ref="G42:G48" si="2">+E42*F42</f>
        <v>200</v>
      </c>
    </row>
    <row r="43" spans="1:20" ht="46.5" customHeight="1" x14ac:dyDescent="0.25">
      <c r="A43" s="10" t="s">
        <v>20</v>
      </c>
      <c r="B43" s="7">
        <f>D8</f>
        <v>0</v>
      </c>
      <c r="C43" s="8"/>
      <c r="E43" s="6">
        <v>100</v>
      </c>
      <c r="F43" s="7"/>
      <c r="G43" s="8">
        <f t="shared" si="2"/>
        <v>0</v>
      </c>
    </row>
    <row r="44" spans="1:20" ht="46.5" customHeight="1" x14ac:dyDescent="0.25">
      <c r="A44" s="10" t="s">
        <v>21</v>
      </c>
      <c r="B44" s="7">
        <f>F39</f>
        <v>2735</v>
      </c>
      <c r="C44" s="8"/>
      <c r="E44" s="6">
        <v>50</v>
      </c>
      <c r="F44" s="7">
        <v>1</v>
      </c>
      <c r="G44" s="8">
        <f t="shared" si="2"/>
        <v>50</v>
      </c>
    </row>
    <row r="45" spans="1:20" ht="51.75" customHeight="1" x14ac:dyDescent="0.25">
      <c r="A45" s="10" t="s">
        <v>22</v>
      </c>
      <c r="B45" s="12">
        <f>+B42-B43-B44</f>
        <v>281</v>
      </c>
      <c r="C45" s="13"/>
      <c r="E45" s="6">
        <v>20</v>
      </c>
      <c r="F45" s="7">
        <v>1</v>
      </c>
      <c r="G45" s="8">
        <f t="shared" si="2"/>
        <v>20</v>
      </c>
    </row>
    <row r="46" spans="1:20" ht="46.5" customHeight="1" x14ac:dyDescent="0.25">
      <c r="A46" s="10" t="s">
        <v>23</v>
      </c>
      <c r="B46" s="12">
        <f>G49</f>
        <v>281</v>
      </c>
      <c r="C46" s="13"/>
      <c r="D46" s="1"/>
      <c r="E46" s="6">
        <v>10</v>
      </c>
      <c r="F46" s="7">
        <v>1</v>
      </c>
      <c r="G46" s="8">
        <f t="shared" si="2"/>
        <v>10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/>
      <c r="G47" s="8">
        <f t="shared" si="2"/>
        <v>0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1</v>
      </c>
      <c r="G48" s="8">
        <f t="shared" si="2"/>
        <v>1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281</v>
      </c>
    </row>
    <row r="50" spans="1:7" ht="15.75" thickTop="1" x14ac:dyDescent="0.25"/>
  </sheetData>
  <mergeCells count="3">
    <mergeCell ref="E2:L2"/>
    <mergeCell ref="E49:F49"/>
    <mergeCell ref="A39:C39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4" workbookViewId="0">
      <selection activeCell="B51" sqref="B51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45126</v>
      </c>
      <c r="B4" s="7"/>
      <c r="C4" s="7" t="s">
        <v>14</v>
      </c>
      <c r="D4" s="7">
        <v>628</v>
      </c>
      <c r="E4" s="7" t="s">
        <v>163</v>
      </c>
      <c r="F4" s="7">
        <f>SUM(G4:T4)</f>
        <v>55</v>
      </c>
      <c r="G4" s="7"/>
      <c r="H4" s="90">
        <v>55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45126</v>
      </c>
      <c r="B5" s="7"/>
      <c r="C5" s="7" t="s">
        <v>15</v>
      </c>
      <c r="D5" s="7">
        <v>2511</v>
      </c>
      <c r="E5" s="7" t="s">
        <v>83</v>
      </c>
      <c r="F5" s="7">
        <f t="shared" ref="F5:F38" si="0">SUM(G5:T5)</f>
        <v>13</v>
      </c>
      <c r="G5" s="7"/>
      <c r="H5" s="90"/>
      <c r="I5" s="7"/>
      <c r="J5" s="7"/>
      <c r="K5" s="7"/>
      <c r="L5" s="7"/>
      <c r="M5" s="7"/>
      <c r="N5" s="7"/>
      <c r="O5" s="7"/>
      <c r="P5" s="7">
        <f>5+8</f>
        <v>13</v>
      </c>
      <c r="Q5" s="7"/>
      <c r="R5" s="7"/>
      <c r="S5" s="7"/>
      <c r="T5" s="7"/>
    </row>
    <row r="6" spans="1:20" ht="25.5" customHeight="1" x14ac:dyDescent="0.25">
      <c r="A6" s="68">
        <v>45126</v>
      </c>
      <c r="B6" s="7"/>
      <c r="C6" s="7" t="s">
        <v>16</v>
      </c>
      <c r="D6" s="7">
        <v>0</v>
      </c>
      <c r="E6" s="7" t="s">
        <v>125</v>
      </c>
      <c r="F6" s="7">
        <f t="shared" si="0"/>
        <v>157</v>
      </c>
      <c r="G6" s="7"/>
      <c r="H6" s="90"/>
      <c r="I6" s="7"/>
      <c r="J6" s="7"/>
      <c r="K6" s="7"/>
      <c r="L6" s="7">
        <f>112+45</f>
        <v>157</v>
      </c>
      <c r="M6" s="7"/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45126</v>
      </c>
      <c r="B7" s="7"/>
      <c r="C7" s="7" t="s">
        <v>17</v>
      </c>
      <c r="D7" s="7">
        <v>250</v>
      </c>
      <c r="E7" s="7" t="s">
        <v>244</v>
      </c>
      <c r="F7" s="7">
        <f t="shared" si="0"/>
        <v>300</v>
      </c>
      <c r="G7" s="7"/>
      <c r="H7" s="90"/>
      <c r="I7" s="7"/>
      <c r="J7" s="7"/>
      <c r="K7" s="7"/>
      <c r="L7" s="7"/>
      <c r="M7" s="7"/>
      <c r="N7" s="7"/>
      <c r="O7" s="7"/>
      <c r="P7" s="7"/>
      <c r="Q7" s="7"/>
      <c r="R7" s="7">
        <v>300</v>
      </c>
      <c r="S7" s="7"/>
      <c r="T7" s="7"/>
    </row>
    <row r="8" spans="1:20" ht="25.5" customHeight="1" x14ac:dyDescent="0.25">
      <c r="A8" s="68">
        <v>45126</v>
      </c>
      <c r="B8" s="7"/>
      <c r="C8" s="7" t="s">
        <v>18</v>
      </c>
      <c r="D8" s="7">
        <f>32+105+150+80+3000</f>
        <v>3367</v>
      </c>
      <c r="E8" s="7" t="s">
        <v>124</v>
      </c>
      <c r="F8" s="7">
        <f t="shared" si="0"/>
        <v>20</v>
      </c>
      <c r="G8" s="7"/>
      <c r="H8" s="90"/>
      <c r="I8" s="7"/>
      <c r="J8" s="7"/>
      <c r="K8" s="7"/>
      <c r="L8" s="7"/>
      <c r="M8" s="7">
        <v>20</v>
      </c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45126</v>
      </c>
      <c r="B9" s="7"/>
      <c r="C9" s="7" t="s">
        <v>30</v>
      </c>
      <c r="D9" s="7">
        <v>0</v>
      </c>
      <c r="E9" s="7" t="s">
        <v>87</v>
      </c>
      <c r="F9" s="7">
        <f t="shared" si="0"/>
        <v>150</v>
      </c>
      <c r="G9" s="7">
        <v>150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45126</v>
      </c>
      <c r="B10" s="7"/>
      <c r="C10" s="7" t="s">
        <v>46</v>
      </c>
      <c r="D10" s="7">
        <v>0</v>
      </c>
      <c r="E10" s="7" t="s">
        <v>90</v>
      </c>
      <c r="F10" s="7">
        <f t="shared" si="0"/>
        <v>50</v>
      </c>
      <c r="G10" s="7">
        <v>50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45126</v>
      </c>
      <c r="B11" s="7"/>
      <c r="C11" s="7"/>
      <c r="D11" s="7"/>
      <c r="E11" s="7" t="s">
        <v>88</v>
      </c>
      <c r="F11" s="7">
        <f t="shared" si="0"/>
        <v>160</v>
      </c>
      <c r="G11" s="7">
        <v>160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45126</v>
      </c>
      <c r="B12" s="7"/>
      <c r="C12" s="7"/>
      <c r="D12" s="7"/>
      <c r="E12" s="7" t="s">
        <v>103</v>
      </c>
      <c r="F12" s="7">
        <f t="shared" si="0"/>
        <v>160</v>
      </c>
      <c r="G12" s="7">
        <v>160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45126</v>
      </c>
      <c r="B13" s="7"/>
      <c r="C13" s="7"/>
      <c r="D13" s="7"/>
      <c r="E13" s="7" t="s">
        <v>181</v>
      </c>
      <c r="F13" s="7">
        <f t="shared" si="0"/>
        <v>30</v>
      </c>
      <c r="G13" s="7">
        <v>30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45126</v>
      </c>
      <c r="B14" s="7"/>
      <c r="C14" s="7"/>
      <c r="D14" s="7"/>
      <c r="E14" s="7" t="s">
        <v>91</v>
      </c>
      <c r="F14" s="7">
        <f t="shared" si="0"/>
        <v>200</v>
      </c>
      <c r="G14" s="7">
        <v>200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45126</v>
      </c>
      <c r="B15" s="7"/>
      <c r="C15" s="7"/>
      <c r="D15" s="7"/>
      <c r="E15" s="7" t="s">
        <v>92</v>
      </c>
      <c r="F15" s="7">
        <f t="shared" si="0"/>
        <v>100</v>
      </c>
      <c r="G15" s="7">
        <v>100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45126</v>
      </c>
      <c r="B16" s="7"/>
      <c r="C16" s="7"/>
      <c r="D16" s="7"/>
      <c r="E16" s="7" t="s">
        <v>96</v>
      </c>
      <c r="F16" s="7">
        <f t="shared" si="0"/>
        <v>170</v>
      </c>
      <c r="G16" s="7">
        <v>170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45126</v>
      </c>
      <c r="B17" s="7"/>
      <c r="C17" s="7"/>
      <c r="D17" s="7"/>
      <c r="E17" s="7" t="s">
        <v>94</v>
      </c>
      <c r="F17" s="7">
        <f t="shared" si="0"/>
        <v>30</v>
      </c>
      <c r="G17" s="7">
        <v>30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45126</v>
      </c>
      <c r="B18" s="7"/>
      <c r="C18" s="7"/>
      <c r="D18" s="7"/>
      <c r="E18" s="7" t="s">
        <v>86</v>
      </c>
      <c r="F18" s="7">
        <f t="shared" si="0"/>
        <v>170</v>
      </c>
      <c r="G18" s="7">
        <v>170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45126</v>
      </c>
      <c r="B19" s="7"/>
      <c r="C19" s="7"/>
      <c r="D19" s="7"/>
      <c r="E19" s="7" t="s">
        <v>159</v>
      </c>
      <c r="F19" s="7">
        <f t="shared" si="0"/>
        <v>150</v>
      </c>
      <c r="G19" s="7">
        <v>150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45126</v>
      </c>
      <c r="B20" s="7"/>
      <c r="C20" s="7"/>
      <c r="D20" s="7"/>
      <c r="E20" s="7" t="s">
        <v>98</v>
      </c>
      <c r="F20" s="7">
        <f t="shared" si="0"/>
        <v>120</v>
      </c>
      <c r="G20" s="7">
        <v>120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45126</v>
      </c>
      <c r="B21" s="7"/>
      <c r="C21" s="7"/>
      <c r="D21" s="7"/>
      <c r="E21" s="7" t="s">
        <v>93</v>
      </c>
      <c r="F21" s="7">
        <f t="shared" si="0"/>
        <v>50</v>
      </c>
      <c r="G21" s="7">
        <v>50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45126</v>
      </c>
      <c r="B22" s="7"/>
      <c r="C22" s="7"/>
      <c r="D22" s="7"/>
      <c r="E22" s="7"/>
      <c r="F22" s="7">
        <f t="shared" si="0"/>
        <v>0</v>
      </c>
      <c r="G22" s="7"/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45126</v>
      </c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>
        <v>45126</v>
      </c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>
        <v>45126</v>
      </c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>
        <v>45126</v>
      </c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>
        <v>45126</v>
      </c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>
        <v>45126</v>
      </c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>
        <v>45126</v>
      </c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>
        <v>45126</v>
      </c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>
        <v>45126</v>
      </c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>
        <v>45126</v>
      </c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6756</v>
      </c>
      <c r="E39" s="119"/>
      <c r="F39" s="7">
        <f>SUM(F4:F38)</f>
        <v>2085</v>
      </c>
      <c r="G39" s="7">
        <f t="shared" ref="G39:T39" si="1">SUM(G4:G38)</f>
        <v>1540</v>
      </c>
      <c r="H39" s="90">
        <f t="shared" si="1"/>
        <v>55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157</v>
      </c>
      <c r="M39" s="7">
        <f t="shared" si="1"/>
        <v>20</v>
      </c>
      <c r="N39" s="7">
        <f t="shared" si="1"/>
        <v>0</v>
      </c>
      <c r="O39" s="7">
        <f t="shared" si="1"/>
        <v>0</v>
      </c>
      <c r="P39" s="7">
        <f t="shared" si="1"/>
        <v>13</v>
      </c>
      <c r="Q39" s="7">
        <f t="shared" si="1"/>
        <v>0</v>
      </c>
      <c r="R39" s="7">
        <f t="shared" si="1"/>
        <v>300</v>
      </c>
      <c r="S39" s="7">
        <f t="shared" si="1"/>
        <v>0</v>
      </c>
      <c r="T39" s="7">
        <f t="shared" si="1"/>
        <v>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6756</v>
      </c>
      <c r="C42" s="8"/>
      <c r="E42" s="6">
        <v>200</v>
      </c>
      <c r="F42" s="7">
        <v>3</v>
      </c>
      <c r="G42" s="8">
        <f t="shared" ref="G42:G48" si="2">+E42*F42</f>
        <v>600</v>
      </c>
    </row>
    <row r="43" spans="1:20" ht="46.5" customHeight="1" x14ac:dyDescent="0.25">
      <c r="A43" s="10" t="s">
        <v>20</v>
      </c>
      <c r="B43" s="7">
        <f>D8</f>
        <v>3367</v>
      </c>
      <c r="C43" s="8"/>
      <c r="E43" s="6">
        <v>100</v>
      </c>
      <c r="F43" s="7">
        <v>4</v>
      </c>
      <c r="G43" s="8">
        <f t="shared" si="2"/>
        <v>400</v>
      </c>
    </row>
    <row r="44" spans="1:20" ht="46.5" customHeight="1" x14ac:dyDescent="0.25">
      <c r="A44" s="10" t="s">
        <v>21</v>
      </c>
      <c r="B44" s="7">
        <f>F39</f>
        <v>2085</v>
      </c>
      <c r="C44" s="8"/>
      <c r="E44" s="6">
        <v>50</v>
      </c>
      <c r="F44" s="7">
        <v>2</v>
      </c>
      <c r="G44" s="8">
        <f t="shared" si="2"/>
        <v>100</v>
      </c>
    </row>
    <row r="45" spans="1:20" ht="51.75" customHeight="1" x14ac:dyDescent="0.25">
      <c r="A45" s="10" t="s">
        <v>22</v>
      </c>
      <c r="B45" s="12">
        <f>+B42-B43-B44</f>
        <v>1304</v>
      </c>
      <c r="C45" s="13"/>
      <c r="E45" s="6">
        <v>20</v>
      </c>
      <c r="F45" s="7">
        <v>2</v>
      </c>
      <c r="G45" s="8">
        <f t="shared" si="2"/>
        <v>40</v>
      </c>
    </row>
    <row r="46" spans="1:20" ht="46.5" customHeight="1" x14ac:dyDescent="0.25">
      <c r="A46" s="10" t="s">
        <v>23</v>
      </c>
      <c r="B46" s="12">
        <f>G49</f>
        <v>1304</v>
      </c>
      <c r="C46" s="13"/>
      <c r="D46" s="1"/>
      <c r="E46" s="6">
        <v>10</v>
      </c>
      <c r="F46" s="7">
        <v>14</v>
      </c>
      <c r="G46" s="8">
        <f t="shared" si="2"/>
        <v>140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3</v>
      </c>
      <c r="G47" s="8">
        <f t="shared" si="2"/>
        <v>15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9</v>
      </c>
      <c r="G48" s="8">
        <f t="shared" si="2"/>
        <v>9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1304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7" zoomScale="75" zoomScaleNormal="75" workbookViewId="0">
      <selection activeCell="D8" sqref="D8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45127</v>
      </c>
      <c r="B4" s="7"/>
      <c r="C4" s="7" t="s">
        <v>14</v>
      </c>
      <c r="D4" s="7">
        <v>871</v>
      </c>
      <c r="E4" s="7" t="s">
        <v>245</v>
      </c>
      <c r="F4" s="7">
        <f>SUM(G4:T4)</f>
        <v>25</v>
      </c>
      <c r="G4" s="7"/>
      <c r="H4" s="90"/>
      <c r="I4" s="7"/>
      <c r="J4" s="7"/>
      <c r="K4" s="7"/>
      <c r="L4" s="7"/>
      <c r="M4" s="7"/>
      <c r="N4" s="7"/>
      <c r="O4" s="7"/>
      <c r="P4" s="7">
        <f>10+10+5</f>
        <v>25</v>
      </c>
      <c r="Q4" s="7"/>
      <c r="R4" s="7"/>
      <c r="S4" s="7"/>
      <c r="T4" s="7"/>
    </row>
    <row r="5" spans="1:20" ht="25.5" customHeight="1" x14ac:dyDescent="0.25">
      <c r="A5" s="68">
        <v>45127</v>
      </c>
      <c r="B5" s="7"/>
      <c r="C5" s="7" t="s">
        <v>15</v>
      </c>
      <c r="D5" s="7">
        <v>3719</v>
      </c>
      <c r="E5" s="7" t="s">
        <v>101</v>
      </c>
      <c r="F5" s="7">
        <f t="shared" ref="F5:F38" si="0">SUM(G5:T5)</f>
        <v>65</v>
      </c>
      <c r="G5" s="7"/>
      <c r="H5" s="90">
        <v>65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25.5" customHeight="1" x14ac:dyDescent="0.25">
      <c r="A6" s="68">
        <v>45127</v>
      </c>
      <c r="B6" s="7"/>
      <c r="C6" s="7" t="s">
        <v>16</v>
      </c>
      <c r="D6" s="7">
        <v>0</v>
      </c>
      <c r="E6" s="7" t="s">
        <v>12</v>
      </c>
      <c r="F6" s="7">
        <f t="shared" si="0"/>
        <v>207</v>
      </c>
      <c r="G6" s="7"/>
      <c r="H6" s="90"/>
      <c r="I6" s="7"/>
      <c r="J6" s="7"/>
      <c r="K6" s="7"/>
      <c r="L6" s="7">
        <f>162+45</f>
        <v>207</v>
      </c>
      <c r="M6" s="7"/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45127</v>
      </c>
      <c r="B7" s="7"/>
      <c r="C7" s="7" t="s">
        <v>17</v>
      </c>
      <c r="D7" s="7">
        <v>185</v>
      </c>
      <c r="E7" s="7" t="s">
        <v>246</v>
      </c>
      <c r="F7" s="7">
        <f t="shared" si="0"/>
        <v>15</v>
      </c>
      <c r="G7" s="7"/>
      <c r="H7" s="90">
        <v>15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45127</v>
      </c>
      <c r="B8" s="7"/>
      <c r="C8" s="7" t="s">
        <v>18</v>
      </c>
      <c r="D8" s="7">
        <f>35+1050+2300+20+180+20+216</f>
        <v>3821</v>
      </c>
      <c r="E8" s="7" t="s">
        <v>177</v>
      </c>
      <c r="F8" s="7">
        <f t="shared" si="0"/>
        <v>100</v>
      </c>
      <c r="G8" s="7"/>
      <c r="H8" s="90"/>
      <c r="I8" s="7"/>
      <c r="J8" s="7"/>
      <c r="K8" s="7"/>
      <c r="L8" s="7"/>
      <c r="M8" s="7"/>
      <c r="N8" s="7"/>
      <c r="O8" s="7"/>
      <c r="P8" s="7"/>
      <c r="Q8" s="7"/>
      <c r="R8" s="7">
        <v>100</v>
      </c>
      <c r="S8" s="7"/>
      <c r="T8" s="7"/>
    </row>
    <row r="9" spans="1:20" ht="25.5" customHeight="1" x14ac:dyDescent="0.25">
      <c r="A9" s="68">
        <v>45127</v>
      </c>
      <c r="B9" s="7"/>
      <c r="C9" s="7" t="s">
        <v>30</v>
      </c>
      <c r="D9" s="7">
        <v>0</v>
      </c>
      <c r="E9" s="7" t="s">
        <v>129</v>
      </c>
      <c r="F9" s="7">
        <f t="shared" si="0"/>
        <v>300</v>
      </c>
      <c r="G9" s="7"/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>
        <v>300</v>
      </c>
    </row>
    <row r="10" spans="1:20" ht="25.5" customHeight="1" x14ac:dyDescent="0.25">
      <c r="A10" s="68">
        <v>45127</v>
      </c>
      <c r="B10" s="7"/>
      <c r="C10" s="7" t="s">
        <v>46</v>
      </c>
      <c r="D10" s="7">
        <v>0</v>
      </c>
      <c r="E10" s="7" t="s">
        <v>124</v>
      </c>
      <c r="F10" s="7">
        <f t="shared" si="0"/>
        <v>10</v>
      </c>
      <c r="G10" s="7"/>
      <c r="H10" s="90"/>
      <c r="I10" s="7"/>
      <c r="J10" s="7"/>
      <c r="K10" s="7"/>
      <c r="L10" s="7"/>
      <c r="M10" s="7">
        <v>10</v>
      </c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45127</v>
      </c>
      <c r="B11" s="7"/>
      <c r="C11" s="7"/>
      <c r="D11" s="7"/>
      <c r="E11" s="7" t="s">
        <v>181</v>
      </c>
      <c r="F11" s="7">
        <f t="shared" si="0"/>
        <v>30</v>
      </c>
      <c r="G11" s="7">
        <v>30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45127</v>
      </c>
      <c r="B12" s="7"/>
      <c r="C12" s="7"/>
      <c r="D12" s="7"/>
      <c r="E12" s="92" t="s">
        <v>87</v>
      </c>
      <c r="F12" s="7">
        <f t="shared" si="0"/>
        <v>150</v>
      </c>
      <c r="G12" s="7">
        <v>150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45127</v>
      </c>
      <c r="B13" s="7"/>
      <c r="C13" s="7"/>
      <c r="D13" s="7"/>
      <c r="E13" s="7" t="s">
        <v>90</v>
      </c>
      <c r="F13" s="7">
        <f t="shared" si="0"/>
        <v>50</v>
      </c>
      <c r="G13" s="7">
        <v>50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45127</v>
      </c>
      <c r="B14" s="7"/>
      <c r="C14" s="7"/>
      <c r="D14" s="7"/>
      <c r="E14" s="7" t="s">
        <v>103</v>
      </c>
      <c r="F14" s="7">
        <f t="shared" si="0"/>
        <v>160</v>
      </c>
      <c r="G14" s="7">
        <v>160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45127</v>
      </c>
      <c r="B15" s="7"/>
      <c r="C15" s="7"/>
      <c r="D15" s="7"/>
      <c r="E15" s="7" t="s">
        <v>88</v>
      </c>
      <c r="F15" s="7">
        <f t="shared" si="0"/>
        <v>160</v>
      </c>
      <c r="G15" s="7">
        <v>160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45127</v>
      </c>
      <c r="B16" s="7"/>
      <c r="C16" s="7"/>
      <c r="D16" s="7"/>
      <c r="E16" s="7" t="s">
        <v>91</v>
      </c>
      <c r="F16" s="7">
        <f t="shared" si="0"/>
        <v>200</v>
      </c>
      <c r="G16" s="7">
        <v>200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45127</v>
      </c>
      <c r="B17" s="7"/>
      <c r="C17" s="7"/>
      <c r="D17" s="7"/>
      <c r="E17" s="7" t="s">
        <v>92</v>
      </c>
      <c r="F17" s="7">
        <f t="shared" si="0"/>
        <v>100</v>
      </c>
      <c r="G17" s="7">
        <v>100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45127</v>
      </c>
      <c r="B18" s="7"/>
      <c r="C18" s="7"/>
      <c r="D18" s="7"/>
      <c r="E18" s="7" t="s">
        <v>248</v>
      </c>
      <c r="F18" s="7">
        <f t="shared" si="0"/>
        <v>340</v>
      </c>
      <c r="G18" s="7">
        <v>340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45127</v>
      </c>
      <c r="B19" s="7"/>
      <c r="C19" s="7"/>
      <c r="D19" s="7"/>
      <c r="E19" s="7" t="s">
        <v>247</v>
      </c>
      <c r="F19" s="7">
        <f t="shared" si="0"/>
        <v>30</v>
      </c>
      <c r="G19" s="7">
        <v>30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45127</v>
      </c>
      <c r="B20" s="7"/>
      <c r="C20" s="7"/>
      <c r="D20" s="7"/>
      <c r="E20" s="7" t="s">
        <v>99</v>
      </c>
      <c r="F20" s="7">
        <f t="shared" si="0"/>
        <v>150</v>
      </c>
      <c r="G20" s="7">
        <v>150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45127</v>
      </c>
      <c r="B21" s="7"/>
      <c r="C21" s="7"/>
      <c r="D21" s="7"/>
      <c r="E21" s="7" t="s">
        <v>98</v>
      </c>
      <c r="F21" s="7">
        <f t="shared" si="0"/>
        <v>120</v>
      </c>
      <c r="G21" s="7">
        <v>120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45127</v>
      </c>
      <c r="B22" s="7"/>
      <c r="C22" s="7"/>
      <c r="D22" s="7"/>
      <c r="E22" s="92" t="s">
        <v>93</v>
      </c>
      <c r="F22" s="7">
        <f t="shared" si="0"/>
        <v>50</v>
      </c>
      <c r="G22" s="7">
        <v>50</v>
      </c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/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8596</v>
      </c>
      <c r="E39" s="119"/>
      <c r="F39" s="7">
        <f>SUM(F4:F38)</f>
        <v>2262</v>
      </c>
      <c r="G39" s="7">
        <f t="shared" ref="G39:T39" si="1">SUM(G4:G38)</f>
        <v>1540</v>
      </c>
      <c r="H39" s="90">
        <f t="shared" si="1"/>
        <v>80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207</v>
      </c>
      <c r="M39" s="7">
        <f t="shared" si="1"/>
        <v>10</v>
      </c>
      <c r="N39" s="7">
        <f t="shared" si="1"/>
        <v>0</v>
      </c>
      <c r="O39" s="7">
        <f t="shared" si="1"/>
        <v>0</v>
      </c>
      <c r="P39" s="7">
        <f t="shared" si="1"/>
        <v>25</v>
      </c>
      <c r="Q39" s="7">
        <f t="shared" si="1"/>
        <v>0</v>
      </c>
      <c r="R39" s="7">
        <f t="shared" si="1"/>
        <v>100</v>
      </c>
      <c r="S39" s="7">
        <f t="shared" si="1"/>
        <v>0</v>
      </c>
      <c r="T39" s="7">
        <f t="shared" si="1"/>
        <v>300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8596</v>
      </c>
      <c r="C42" s="8"/>
      <c r="E42" s="6">
        <v>200</v>
      </c>
      <c r="F42" s="7">
        <v>10</v>
      </c>
      <c r="G42" s="8">
        <f t="shared" ref="G42:G48" si="2">+E42*F42</f>
        <v>2000</v>
      </c>
    </row>
    <row r="43" spans="1:20" ht="46.5" customHeight="1" x14ac:dyDescent="0.25">
      <c r="A43" s="10" t="s">
        <v>20</v>
      </c>
      <c r="B43" s="7">
        <f>D8</f>
        <v>3821</v>
      </c>
      <c r="C43" s="8"/>
      <c r="E43" s="6">
        <v>100</v>
      </c>
      <c r="F43" s="7">
        <v>4</v>
      </c>
      <c r="G43" s="8">
        <f t="shared" si="2"/>
        <v>400</v>
      </c>
    </row>
    <row r="44" spans="1:20" ht="46.5" customHeight="1" x14ac:dyDescent="0.25">
      <c r="A44" s="10" t="s">
        <v>21</v>
      </c>
      <c r="B44" s="7">
        <f>F39</f>
        <v>2262</v>
      </c>
      <c r="C44" s="8"/>
      <c r="E44" s="6">
        <v>50</v>
      </c>
      <c r="F44" s="7">
        <v>2</v>
      </c>
      <c r="G44" s="8">
        <f t="shared" si="2"/>
        <v>100</v>
      </c>
    </row>
    <row r="45" spans="1:20" ht="51.75" customHeight="1" x14ac:dyDescent="0.25">
      <c r="A45" s="10" t="s">
        <v>22</v>
      </c>
      <c r="B45" s="12">
        <f>+B42-B43-B44</f>
        <v>2513</v>
      </c>
      <c r="C45" s="13"/>
      <c r="E45" s="6">
        <v>20</v>
      </c>
      <c r="F45" s="7"/>
      <c r="G45" s="8">
        <f t="shared" si="2"/>
        <v>0</v>
      </c>
    </row>
    <row r="46" spans="1:20" ht="46.5" customHeight="1" x14ac:dyDescent="0.25">
      <c r="A46" s="10" t="s">
        <v>23</v>
      </c>
      <c r="B46" s="12">
        <f>G49</f>
        <v>2513</v>
      </c>
      <c r="C46" s="13"/>
      <c r="D46" s="1"/>
      <c r="E46" s="6">
        <v>10</v>
      </c>
      <c r="F46" s="7">
        <v>1</v>
      </c>
      <c r="G46" s="8">
        <f t="shared" si="2"/>
        <v>10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/>
      <c r="G47" s="8">
        <f t="shared" si="2"/>
        <v>0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3</v>
      </c>
      <c r="G48" s="8">
        <f t="shared" si="2"/>
        <v>3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2513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0" zoomScale="73" zoomScaleNormal="73" workbookViewId="0">
      <selection activeCell="H48" sqref="H48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3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45128</v>
      </c>
      <c r="B4" s="7"/>
      <c r="C4" s="7" t="s">
        <v>14</v>
      </c>
      <c r="D4" s="7">
        <v>726</v>
      </c>
      <c r="E4" s="7" t="s">
        <v>125</v>
      </c>
      <c r="F4" s="7">
        <f>SUM(G4:T4)</f>
        <v>135</v>
      </c>
      <c r="G4" s="7"/>
      <c r="H4" s="90"/>
      <c r="I4" s="7"/>
      <c r="J4" s="7"/>
      <c r="K4" s="7"/>
      <c r="L4" s="7">
        <f>90+45</f>
        <v>135</v>
      </c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45128</v>
      </c>
      <c r="B5" s="7"/>
      <c r="C5" s="7" t="s">
        <v>15</v>
      </c>
      <c r="D5" s="7">
        <v>1744</v>
      </c>
      <c r="E5" s="7" t="s">
        <v>82</v>
      </c>
      <c r="F5" s="7">
        <f t="shared" ref="F5:F38" si="0">SUM(G5:T5)</f>
        <v>20</v>
      </c>
      <c r="G5" s="7"/>
      <c r="H5" s="90"/>
      <c r="I5" s="7"/>
      <c r="J5" s="7"/>
      <c r="K5" s="7"/>
      <c r="L5" s="7"/>
      <c r="M5" s="7"/>
      <c r="N5" s="7"/>
      <c r="O5" s="7"/>
      <c r="P5" s="7">
        <v>20</v>
      </c>
      <c r="Q5" s="7"/>
      <c r="R5" s="7"/>
      <c r="S5" s="7"/>
      <c r="T5" s="7"/>
    </row>
    <row r="6" spans="1:20" ht="25.5" customHeight="1" x14ac:dyDescent="0.25">
      <c r="A6" s="68">
        <v>45128</v>
      </c>
      <c r="B6" s="7"/>
      <c r="C6" s="7" t="s">
        <v>16</v>
      </c>
      <c r="D6" s="7">
        <v>0</v>
      </c>
      <c r="E6" s="7" t="s">
        <v>249</v>
      </c>
      <c r="F6" s="7">
        <f t="shared" si="0"/>
        <v>10</v>
      </c>
      <c r="G6" s="7"/>
      <c r="H6" s="90"/>
      <c r="I6" s="7"/>
      <c r="J6" s="7"/>
      <c r="K6" s="7"/>
      <c r="L6" s="7"/>
      <c r="M6" s="7"/>
      <c r="N6" s="7">
        <v>10</v>
      </c>
      <c r="O6" s="7"/>
      <c r="P6" s="7"/>
      <c r="Q6" s="7"/>
      <c r="R6" s="7"/>
      <c r="S6" s="7"/>
      <c r="T6" s="7"/>
    </row>
    <row r="7" spans="1:20" ht="25.5" customHeight="1" x14ac:dyDescent="0.25">
      <c r="A7" s="68">
        <v>45128</v>
      </c>
      <c r="B7" s="7"/>
      <c r="C7" s="7" t="s">
        <v>17</v>
      </c>
      <c r="D7" s="7">
        <v>0</v>
      </c>
      <c r="E7" s="7" t="s">
        <v>88</v>
      </c>
      <c r="F7" s="7">
        <f t="shared" si="0"/>
        <v>160</v>
      </c>
      <c r="G7" s="7">
        <v>160</v>
      </c>
      <c r="H7" s="90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45128</v>
      </c>
      <c r="B8" s="7"/>
      <c r="C8" s="7" t="s">
        <v>18</v>
      </c>
      <c r="D8" s="7">
        <f>2000+1000</f>
        <v>3000</v>
      </c>
      <c r="E8" s="7" t="s">
        <v>92</v>
      </c>
      <c r="F8" s="7">
        <f t="shared" si="0"/>
        <v>100</v>
      </c>
      <c r="G8" s="7">
        <v>100</v>
      </c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45128</v>
      </c>
      <c r="B9" s="7"/>
      <c r="C9" s="7" t="s">
        <v>30</v>
      </c>
      <c r="D9" s="7">
        <v>0</v>
      </c>
      <c r="E9" s="7" t="s">
        <v>87</v>
      </c>
      <c r="F9" s="7">
        <f t="shared" si="0"/>
        <v>150</v>
      </c>
      <c r="G9" s="7">
        <v>150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45128</v>
      </c>
      <c r="B10" s="7"/>
      <c r="C10" s="7" t="s">
        <v>46</v>
      </c>
      <c r="D10" s="7">
        <v>0</v>
      </c>
      <c r="E10" s="7" t="s">
        <v>90</v>
      </c>
      <c r="F10" s="7">
        <f t="shared" si="0"/>
        <v>50</v>
      </c>
      <c r="G10" s="7">
        <v>50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45128</v>
      </c>
      <c r="B11" s="7"/>
      <c r="C11" s="7"/>
      <c r="D11" s="7"/>
      <c r="E11" s="7" t="s">
        <v>91</v>
      </c>
      <c r="F11" s="7">
        <f t="shared" si="0"/>
        <v>200</v>
      </c>
      <c r="G11" s="7">
        <v>200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45128</v>
      </c>
      <c r="B12" s="7"/>
      <c r="C12" s="7"/>
      <c r="D12" s="7"/>
      <c r="E12" s="7" t="s">
        <v>107</v>
      </c>
      <c r="F12" s="7">
        <f t="shared" si="0"/>
        <v>30</v>
      </c>
      <c r="G12" s="7">
        <v>30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45128</v>
      </c>
      <c r="B13" s="7"/>
      <c r="C13" s="7"/>
      <c r="D13" s="7"/>
      <c r="E13" s="7" t="s">
        <v>96</v>
      </c>
      <c r="F13" s="7">
        <f t="shared" si="0"/>
        <v>170</v>
      </c>
      <c r="G13" s="7">
        <v>170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45128</v>
      </c>
      <c r="B14" s="7"/>
      <c r="C14" s="7"/>
      <c r="D14" s="7"/>
      <c r="E14" s="7" t="s">
        <v>98</v>
      </c>
      <c r="F14" s="7">
        <f t="shared" si="0"/>
        <v>120</v>
      </c>
      <c r="G14" s="7">
        <v>120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45128</v>
      </c>
      <c r="B15" s="7"/>
      <c r="C15" s="7"/>
      <c r="D15" s="7"/>
      <c r="E15" s="7" t="s">
        <v>99</v>
      </c>
      <c r="F15" s="7">
        <f t="shared" si="0"/>
        <v>150</v>
      </c>
      <c r="G15" s="7">
        <v>150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45128</v>
      </c>
      <c r="B16" s="7"/>
      <c r="C16" s="7"/>
      <c r="D16" s="7"/>
      <c r="E16" s="7" t="s">
        <v>104</v>
      </c>
      <c r="F16" s="7">
        <f t="shared" si="0"/>
        <v>50</v>
      </c>
      <c r="G16" s="7">
        <v>50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45128</v>
      </c>
      <c r="B17" s="7"/>
      <c r="C17" s="7"/>
      <c r="D17" s="7"/>
      <c r="E17" s="7" t="s">
        <v>103</v>
      </c>
      <c r="F17" s="7">
        <f t="shared" si="0"/>
        <v>160</v>
      </c>
      <c r="G17" s="7">
        <v>160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45128</v>
      </c>
      <c r="B18" s="7"/>
      <c r="C18" s="7"/>
      <c r="D18" s="7"/>
      <c r="E18" s="7" t="s">
        <v>123</v>
      </c>
      <c r="F18" s="7">
        <f t="shared" si="0"/>
        <v>100</v>
      </c>
      <c r="G18" s="7">
        <v>100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45128</v>
      </c>
      <c r="B19" s="7"/>
      <c r="C19" s="7"/>
      <c r="D19" s="7"/>
      <c r="E19" s="7"/>
      <c r="F19" s="7">
        <f t="shared" si="0"/>
        <v>0</v>
      </c>
      <c r="G19" s="7"/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45128</v>
      </c>
      <c r="B20" s="7"/>
      <c r="C20" s="7"/>
      <c r="D20" s="7"/>
      <c r="E20" s="7"/>
      <c r="F20" s="7">
        <f t="shared" si="0"/>
        <v>0</v>
      </c>
      <c r="G20" s="7"/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45128</v>
      </c>
      <c r="B21" s="7"/>
      <c r="C21" s="7"/>
      <c r="D21" s="7"/>
      <c r="E21" s="7"/>
      <c r="F21" s="7">
        <f t="shared" si="0"/>
        <v>0</v>
      </c>
      <c r="G21" s="7"/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45128</v>
      </c>
      <c r="B22" s="7"/>
      <c r="C22" s="7"/>
      <c r="D22" s="7"/>
      <c r="E22" s="7"/>
      <c r="F22" s="7">
        <f t="shared" si="0"/>
        <v>0</v>
      </c>
      <c r="G22" s="7"/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45128</v>
      </c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>
        <v>45128</v>
      </c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5470</v>
      </c>
      <c r="E39" s="119"/>
      <c r="F39" s="7">
        <f>SUM(F4:F38)</f>
        <v>1605</v>
      </c>
      <c r="G39" s="7">
        <f t="shared" ref="G39:T39" si="1">SUM(G4:G38)</f>
        <v>1440</v>
      </c>
      <c r="H39" s="90">
        <f t="shared" si="1"/>
        <v>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135</v>
      </c>
      <c r="M39" s="7">
        <f t="shared" si="1"/>
        <v>0</v>
      </c>
      <c r="N39" s="7">
        <f t="shared" si="1"/>
        <v>10</v>
      </c>
      <c r="O39" s="7">
        <f t="shared" si="1"/>
        <v>0</v>
      </c>
      <c r="P39" s="7">
        <f t="shared" si="1"/>
        <v>20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5470</v>
      </c>
      <c r="C42" s="8"/>
      <c r="E42" s="6">
        <v>200</v>
      </c>
      <c r="F42" s="7"/>
      <c r="G42" s="8">
        <f t="shared" ref="G42:G48" si="2">+E42*F42</f>
        <v>0</v>
      </c>
    </row>
    <row r="43" spans="1:20" ht="46.5" customHeight="1" x14ac:dyDescent="0.25">
      <c r="A43" s="10" t="s">
        <v>20</v>
      </c>
      <c r="B43" s="7">
        <f>D8</f>
        <v>3000</v>
      </c>
      <c r="C43" s="8"/>
      <c r="E43" s="6">
        <v>100</v>
      </c>
      <c r="F43" s="7">
        <v>4</v>
      </c>
      <c r="G43" s="8">
        <f t="shared" si="2"/>
        <v>400</v>
      </c>
    </row>
    <row r="44" spans="1:20" ht="46.5" customHeight="1" x14ac:dyDescent="0.25">
      <c r="A44" s="10" t="s">
        <v>21</v>
      </c>
      <c r="B44" s="7">
        <f>F39</f>
        <v>1605</v>
      </c>
      <c r="C44" s="8"/>
      <c r="E44" s="6">
        <v>50</v>
      </c>
      <c r="F44" s="7">
        <v>4</v>
      </c>
      <c r="G44" s="8">
        <f t="shared" si="2"/>
        <v>200</v>
      </c>
    </row>
    <row r="45" spans="1:20" ht="51.75" customHeight="1" x14ac:dyDescent="0.25">
      <c r="A45" s="10" t="s">
        <v>22</v>
      </c>
      <c r="B45" s="12">
        <f>+B42-B43-B44</f>
        <v>865</v>
      </c>
      <c r="C45" s="13"/>
      <c r="E45" s="6">
        <v>20</v>
      </c>
      <c r="F45" s="7">
        <v>5</v>
      </c>
      <c r="G45" s="8">
        <f t="shared" si="2"/>
        <v>100</v>
      </c>
    </row>
    <row r="46" spans="1:20" ht="46.5" customHeight="1" x14ac:dyDescent="0.25">
      <c r="A46" s="10" t="s">
        <v>23</v>
      </c>
      <c r="B46" s="12">
        <f>G49</f>
        <v>865</v>
      </c>
      <c r="C46" s="13"/>
      <c r="D46" s="1"/>
      <c r="E46" s="6">
        <v>10</v>
      </c>
      <c r="F46" s="7">
        <v>8</v>
      </c>
      <c r="G46" s="8">
        <f t="shared" si="2"/>
        <v>80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17</v>
      </c>
      <c r="G47" s="8">
        <f t="shared" si="2"/>
        <v>85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/>
      <c r="G48" s="8">
        <f t="shared" si="2"/>
        <v>0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865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9" zoomScale="87" zoomScaleNormal="87" workbookViewId="0">
      <selection activeCell="I48" sqref="I48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3" width="13.140625" bestFit="1" customWidth="1"/>
    <col min="14" max="14" width="15" bestFit="1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115"/>
      <c r="N2" s="115"/>
      <c r="O2" s="115"/>
      <c r="P2" s="115"/>
      <c r="Q2" s="115"/>
      <c r="R2" s="115"/>
      <c r="S2" s="115"/>
      <c r="T2" s="11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116">
        <v>45099</v>
      </c>
      <c r="B4" s="117"/>
      <c r="C4" s="117" t="s">
        <v>14</v>
      </c>
      <c r="D4" s="117">
        <v>606</v>
      </c>
      <c r="E4" s="117" t="s">
        <v>141</v>
      </c>
      <c r="F4" s="117">
        <f>SUM(G4:T4)</f>
        <v>55</v>
      </c>
      <c r="G4" s="117"/>
      <c r="H4" s="118">
        <v>55</v>
      </c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</row>
    <row r="5" spans="1:20" ht="25.5" customHeight="1" x14ac:dyDescent="0.25">
      <c r="A5" s="116">
        <v>45099</v>
      </c>
      <c r="B5" s="117"/>
      <c r="C5" s="117" t="s">
        <v>15</v>
      </c>
      <c r="D5" s="117">
        <v>2857</v>
      </c>
      <c r="E5" s="117" t="s">
        <v>169</v>
      </c>
      <c r="F5" s="117">
        <f t="shared" ref="F5:F38" si="0">SUM(G5:T5)</f>
        <v>8</v>
      </c>
      <c r="G5" s="117"/>
      <c r="H5" s="118">
        <v>8</v>
      </c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</row>
    <row r="6" spans="1:20" ht="25.5" customHeight="1" x14ac:dyDescent="0.25">
      <c r="A6" s="116">
        <v>45099</v>
      </c>
      <c r="B6" s="117"/>
      <c r="C6" s="117" t="s">
        <v>16</v>
      </c>
      <c r="D6" s="117">
        <v>0</v>
      </c>
      <c r="E6" s="117" t="s">
        <v>188</v>
      </c>
      <c r="F6" s="117">
        <f t="shared" si="0"/>
        <v>300</v>
      </c>
      <c r="G6" s="117"/>
      <c r="H6" s="118"/>
      <c r="I6" s="117"/>
      <c r="J6" s="117"/>
      <c r="K6" s="117"/>
      <c r="L6" s="117"/>
      <c r="M6" s="117"/>
      <c r="N6" s="117">
        <v>300</v>
      </c>
      <c r="O6" s="117"/>
      <c r="P6" s="117"/>
      <c r="Q6" s="117"/>
      <c r="R6" s="117"/>
      <c r="S6" s="117"/>
      <c r="T6" s="117"/>
    </row>
    <row r="7" spans="1:20" ht="25.5" customHeight="1" x14ac:dyDescent="0.25">
      <c r="A7" s="116">
        <v>45099</v>
      </c>
      <c r="B7" s="117"/>
      <c r="C7" s="117" t="s">
        <v>17</v>
      </c>
      <c r="D7" s="117">
        <v>158</v>
      </c>
      <c r="E7" s="117" t="s">
        <v>207</v>
      </c>
      <c r="F7" s="117">
        <f t="shared" si="0"/>
        <v>15</v>
      </c>
      <c r="G7" s="117"/>
      <c r="H7" s="118"/>
      <c r="I7" s="117"/>
      <c r="J7" s="117"/>
      <c r="K7" s="117"/>
      <c r="L7" s="117"/>
      <c r="M7" s="117"/>
      <c r="N7" s="117"/>
      <c r="O7" s="117"/>
      <c r="P7" s="117">
        <f>10+5</f>
        <v>15</v>
      </c>
      <c r="Q7" s="117"/>
      <c r="R7" s="117"/>
      <c r="S7" s="117"/>
      <c r="T7" s="117"/>
    </row>
    <row r="8" spans="1:20" ht="25.5" customHeight="1" x14ac:dyDescent="0.25">
      <c r="A8" s="116">
        <v>45099</v>
      </c>
      <c r="B8" s="117"/>
      <c r="C8" s="117" t="s">
        <v>18</v>
      </c>
      <c r="D8" s="117">
        <f>100+35+150+400+225+20</f>
        <v>930</v>
      </c>
      <c r="E8" s="117" t="s">
        <v>125</v>
      </c>
      <c r="F8" s="117">
        <f t="shared" si="0"/>
        <v>113</v>
      </c>
      <c r="G8" s="117"/>
      <c r="H8" s="118"/>
      <c r="I8" s="117"/>
      <c r="J8" s="117"/>
      <c r="K8" s="117"/>
      <c r="L8" s="117">
        <f>90+23</f>
        <v>113</v>
      </c>
      <c r="M8" s="117"/>
      <c r="N8" s="117"/>
      <c r="O8" s="117"/>
      <c r="P8" s="117"/>
      <c r="Q8" s="117"/>
      <c r="R8" s="117"/>
      <c r="S8" s="117"/>
      <c r="T8" s="117"/>
    </row>
    <row r="9" spans="1:20" ht="25.5" customHeight="1" x14ac:dyDescent="0.25">
      <c r="A9" s="116">
        <v>45099</v>
      </c>
      <c r="B9" s="117"/>
      <c r="C9" s="117" t="s">
        <v>30</v>
      </c>
      <c r="D9" s="117">
        <v>0</v>
      </c>
      <c r="E9" s="117" t="s">
        <v>251</v>
      </c>
      <c r="F9" s="117">
        <f t="shared" si="0"/>
        <v>205</v>
      </c>
      <c r="G9" s="117"/>
      <c r="H9" s="118"/>
      <c r="I9" s="117"/>
      <c r="J9" s="117"/>
      <c r="K9" s="117"/>
      <c r="L9" s="117"/>
      <c r="M9" s="117"/>
      <c r="N9" s="117"/>
      <c r="O9" s="117">
        <v>205</v>
      </c>
      <c r="P9" s="117"/>
      <c r="Q9" s="117"/>
      <c r="R9" s="117"/>
      <c r="S9" s="117"/>
      <c r="T9" s="117"/>
    </row>
    <row r="10" spans="1:20" ht="25.5" customHeight="1" x14ac:dyDescent="0.25">
      <c r="A10" s="116">
        <v>45099</v>
      </c>
      <c r="B10" s="117"/>
      <c r="C10" s="117" t="s">
        <v>46</v>
      </c>
      <c r="D10" s="117">
        <v>0</v>
      </c>
      <c r="E10" s="117" t="s">
        <v>126</v>
      </c>
      <c r="F10" s="117">
        <f t="shared" si="0"/>
        <v>200</v>
      </c>
      <c r="G10" s="117"/>
      <c r="H10" s="118"/>
      <c r="I10" s="117"/>
      <c r="J10" s="117"/>
      <c r="K10" s="117"/>
      <c r="L10" s="117"/>
      <c r="M10" s="117"/>
      <c r="N10" s="117"/>
      <c r="O10" s="117"/>
      <c r="P10" s="117"/>
      <c r="Q10" s="117"/>
      <c r="R10" s="117">
        <v>200</v>
      </c>
      <c r="S10" s="117"/>
      <c r="T10" s="117"/>
    </row>
    <row r="11" spans="1:20" ht="25.5" customHeight="1" x14ac:dyDescent="0.25">
      <c r="A11" s="116">
        <v>45099</v>
      </c>
      <c r="B11" s="117"/>
      <c r="C11" s="117"/>
      <c r="D11" s="117"/>
      <c r="E11" s="117" t="s">
        <v>129</v>
      </c>
      <c r="F11" s="117">
        <f t="shared" si="0"/>
        <v>850</v>
      </c>
      <c r="G11" s="117"/>
      <c r="H11" s="118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>
        <v>850</v>
      </c>
    </row>
    <row r="12" spans="1:20" ht="25.5" customHeight="1" x14ac:dyDescent="0.25">
      <c r="A12" s="116">
        <v>45099</v>
      </c>
      <c r="B12" s="117"/>
      <c r="C12" s="117"/>
      <c r="D12" s="117"/>
      <c r="E12" s="117" t="s">
        <v>86</v>
      </c>
      <c r="F12" s="117">
        <f t="shared" si="0"/>
        <v>170</v>
      </c>
      <c r="G12" s="117">
        <v>170</v>
      </c>
      <c r="H12" s="118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</row>
    <row r="13" spans="1:20" ht="25.5" customHeight="1" x14ac:dyDescent="0.25">
      <c r="A13" s="116">
        <v>45099</v>
      </c>
      <c r="B13" s="117"/>
      <c r="C13" s="117"/>
      <c r="D13" s="117"/>
      <c r="E13" s="117" t="s">
        <v>90</v>
      </c>
      <c r="F13" s="117">
        <f t="shared" si="0"/>
        <v>50</v>
      </c>
      <c r="G13" s="117">
        <v>50</v>
      </c>
      <c r="H13" s="118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</row>
    <row r="14" spans="1:20" ht="25.5" customHeight="1" x14ac:dyDescent="0.25">
      <c r="A14" s="116">
        <v>45099</v>
      </c>
      <c r="B14" s="117"/>
      <c r="C14" s="117"/>
      <c r="D14" s="117"/>
      <c r="E14" s="117" t="s">
        <v>103</v>
      </c>
      <c r="F14" s="117">
        <f t="shared" si="0"/>
        <v>160</v>
      </c>
      <c r="G14" s="117">
        <v>160</v>
      </c>
      <c r="H14" s="118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</row>
    <row r="15" spans="1:20" ht="25.5" customHeight="1" x14ac:dyDescent="0.25">
      <c r="A15" s="116">
        <v>45099</v>
      </c>
      <c r="B15" s="117"/>
      <c r="C15" s="117"/>
      <c r="D15" s="117"/>
      <c r="E15" s="117" t="s">
        <v>91</v>
      </c>
      <c r="F15" s="117">
        <f t="shared" si="0"/>
        <v>200</v>
      </c>
      <c r="G15" s="117">
        <v>200</v>
      </c>
      <c r="H15" s="118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</row>
    <row r="16" spans="1:20" ht="25.5" customHeight="1" x14ac:dyDescent="0.25">
      <c r="A16" s="116">
        <v>45099</v>
      </c>
      <c r="B16" s="117"/>
      <c r="C16" s="117"/>
      <c r="D16" s="117"/>
      <c r="E16" s="117" t="s">
        <v>92</v>
      </c>
      <c r="F16" s="117">
        <f t="shared" si="0"/>
        <v>100</v>
      </c>
      <c r="G16" s="117">
        <v>100</v>
      </c>
      <c r="H16" s="118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</row>
    <row r="17" spans="1:20" ht="25.5" customHeight="1" x14ac:dyDescent="0.25">
      <c r="A17" s="116">
        <v>45099</v>
      </c>
      <c r="B17" s="117"/>
      <c r="C17" s="117"/>
      <c r="D17" s="117"/>
      <c r="E17" s="117" t="s">
        <v>179</v>
      </c>
      <c r="F17" s="117">
        <f t="shared" si="0"/>
        <v>150</v>
      </c>
      <c r="G17" s="117">
        <v>150</v>
      </c>
      <c r="H17" s="118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</row>
    <row r="18" spans="1:20" ht="25.5" customHeight="1" x14ac:dyDescent="0.25">
      <c r="A18" s="116">
        <v>45099</v>
      </c>
      <c r="B18" s="117"/>
      <c r="C18" s="117"/>
      <c r="D18" s="117"/>
      <c r="E18" s="117" t="s">
        <v>96</v>
      </c>
      <c r="F18" s="117">
        <f t="shared" si="0"/>
        <v>170</v>
      </c>
      <c r="G18" s="117">
        <v>170</v>
      </c>
      <c r="H18" s="118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</row>
    <row r="19" spans="1:20" ht="25.5" customHeight="1" x14ac:dyDescent="0.25">
      <c r="A19" s="116"/>
      <c r="B19" s="117"/>
      <c r="C19" s="117"/>
      <c r="D19" s="117"/>
      <c r="E19" s="117" t="s">
        <v>98</v>
      </c>
      <c r="F19" s="117">
        <f t="shared" si="0"/>
        <v>120</v>
      </c>
      <c r="G19" s="117">
        <v>120</v>
      </c>
      <c r="H19" s="118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</row>
    <row r="20" spans="1:20" ht="25.5" customHeight="1" x14ac:dyDescent="0.25">
      <c r="A20" s="116"/>
      <c r="B20" s="117"/>
      <c r="C20" s="117"/>
      <c r="D20" s="117"/>
      <c r="E20" s="117" t="s">
        <v>93</v>
      </c>
      <c r="F20" s="117">
        <f t="shared" si="0"/>
        <v>50</v>
      </c>
      <c r="G20" s="117">
        <v>50</v>
      </c>
      <c r="H20" s="118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</row>
    <row r="21" spans="1:20" ht="25.5" customHeight="1" x14ac:dyDescent="0.25">
      <c r="A21" s="116"/>
      <c r="B21" s="117"/>
      <c r="C21" s="117"/>
      <c r="D21" s="117"/>
      <c r="E21" s="117" t="s">
        <v>159</v>
      </c>
      <c r="F21" s="117">
        <f t="shared" si="0"/>
        <v>150</v>
      </c>
      <c r="G21" s="117">
        <v>150</v>
      </c>
      <c r="H21" s="118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</row>
    <row r="22" spans="1:20" ht="25.5" customHeight="1" x14ac:dyDescent="0.25">
      <c r="A22" s="116"/>
      <c r="B22" s="117"/>
      <c r="C22" s="117"/>
      <c r="D22" s="117"/>
      <c r="E22" s="117" t="s">
        <v>94</v>
      </c>
      <c r="F22" s="117">
        <f t="shared" si="0"/>
        <v>30</v>
      </c>
      <c r="G22" s="117">
        <v>30</v>
      </c>
      <c r="H22" s="118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</row>
    <row r="23" spans="1:20" ht="25.5" customHeight="1" x14ac:dyDescent="0.25">
      <c r="A23" s="116"/>
      <c r="B23" s="117"/>
      <c r="C23" s="117"/>
      <c r="D23" s="117"/>
      <c r="E23" s="117"/>
      <c r="F23" s="117">
        <f t="shared" si="0"/>
        <v>0</v>
      </c>
      <c r="G23" s="117"/>
      <c r="H23" s="118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</row>
    <row r="24" spans="1:20" ht="25.5" customHeight="1" x14ac:dyDescent="0.25">
      <c r="A24" s="116"/>
      <c r="B24" s="117"/>
      <c r="C24" s="117"/>
      <c r="D24" s="117"/>
      <c r="E24" s="117"/>
      <c r="F24" s="117">
        <f t="shared" si="0"/>
        <v>0</v>
      </c>
      <c r="G24" s="117"/>
      <c r="H24" s="118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</row>
    <row r="25" spans="1:20" ht="25.5" customHeight="1" x14ac:dyDescent="0.25">
      <c r="A25" s="116"/>
      <c r="B25" s="117"/>
      <c r="C25" s="117"/>
      <c r="D25" s="117"/>
      <c r="E25" s="117"/>
      <c r="F25" s="117">
        <f t="shared" si="0"/>
        <v>0</v>
      </c>
      <c r="G25" s="117"/>
      <c r="H25" s="118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</row>
    <row r="26" spans="1:20" ht="25.5" customHeight="1" x14ac:dyDescent="0.25">
      <c r="A26" s="116"/>
      <c r="B26" s="117"/>
      <c r="C26" s="117"/>
      <c r="D26" s="117"/>
      <c r="E26" s="117"/>
      <c r="F26" s="117">
        <f t="shared" si="0"/>
        <v>0</v>
      </c>
      <c r="G26" s="117"/>
      <c r="H26" s="118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</row>
    <row r="27" spans="1:20" ht="25.5" customHeight="1" x14ac:dyDescent="0.25">
      <c r="A27" s="116"/>
      <c r="B27" s="117"/>
      <c r="C27" s="117"/>
      <c r="D27" s="117"/>
      <c r="E27" s="117"/>
      <c r="F27" s="117">
        <f t="shared" si="0"/>
        <v>0</v>
      </c>
      <c r="G27" s="117"/>
      <c r="H27" s="118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</row>
    <row r="28" spans="1:20" ht="25.5" customHeight="1" x14ac:dyDescent="0.25">
      <c r="A28" s="116"/>
      <c r="B28" s="117"/>
      <c r="C28" s="117"/>
      <c r="D28" s="117"/>
      <c r="E28" s="117"/>
      <c r="F28" s="117">
        <f t="shared" si="0"/>
        <v>0</v>
      </c>
      <c r="G28" s="117"/>
      <c r="H28" s="118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</row>
    <row r="29" spans="1:20" ht="25.5" customHeight="1" x14ac:dyDescent="0.25">
      <c r="A29" s="116"/>
      <c r="B29" s="117"/>
      <c r="C29" s="117"/>
      <c r="D29" s="117"/>
      <c r="E29" s="117"/>
      <c r="F29" s="117">
        <f t="shared" si="0"/>
        <v>0</v>
      </c>
      <c r="G29" s="117"/>
      <c r="H29" s="118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</row>
    <row r="30" spans="1:20" ht="25.5" customHeight="1" x14ac:dyDescent="0.25">
      <c r="A30" s="116"/>
      <c r="B30" s="117"/>
      <c r="C30" s="117"/>
      <c r="D30" s="117"/>
      <c r="E30" s="117"/>
      <c r="F30" s="117">
        <f t="shared" si="0"/>
        <v>0</v>
      </c>
      <c r="G30" s="117"/>
      <c r="H30" s="118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</row>
    <row r="31" spans="1:20" ht="25.5" customHeight="1" x14ac:dyDescent="0.25">
      <c r="A31" s="116"/>
      <c r="B31" s="117"/>
      <c r="C31" s="117"/>
      <c r="D31" s="117"/>
      <c r="E31" s="117"/>
      <c r="F31" s="117">
        <f t="shared" si="0"/>
        <v>0</v>
      </c>
      <c r="G31" s="117"/>
      <c r="H31" s="118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</row>
    <row r="32" spans="1:20" ht="25.5" customHeight="1" x14ac:dyDescent="0.25">
      <c r="A32" s="116"/>
      <c r="B32" s="117"/>
      <c r="C32" s="117"/>
      <c r="D32" s="117"/>
      <c r="E32" s="117"/>
      <c r="F32" s="117">
        <f t="shared" si="0"/>
        <v>0</v>
      </c>
      <c r="G32" s="117"/>
      <c r="H32" s="118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</row>
    <row r="33" spans="1:20" ht="25.5" customHeight="1" x14ac:dyDescent="0.25">
      <c r="A33" s="116"/>
      <c r="B33" s="117"/>
      <c r="C33" s="117"/>
      <c r="D33" s="117"/>
      <c r="E33" s="117"/>
      <c r="F33" s="117">
        <f t="shared" si="0"/>
        <v>0</v>
      </c>
      <c r="G33" s="117"/>
      <c r="H33" s="118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</row>
    <row r="34" spans="1:20" ht="25.5" customHeight="1" x14ac:dyDescent="0.25">
      <c r="A34" s="116"/>
      <c r="B34" s="117"/>
      <c r="C34" s="117"/>
      <c r="D34" s="117"/>
      <c r="E34" s="117"/>
      <c r="F34" s="117">
        <f t="shared" si="0"/>
        <v>0</v>
      </c>
      <c r="G34" s="117"/>
      <c r="H34" s="118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</row>
    <row r="35" spans="1:20" ht="25.5" customHeight="1" x14ac:dyDescent="0.25">
      <c r="A35" s="116"/>
      <c r="B35" s="117"/>
      <c r="C35" s="117"/>
      <c r="D35" s="117"/>
      <c r="E35" s="117"/>
      <c r="F35" s="117">
        <f t="shared" si="0"/>
        <v>0</v>
      </c>
      <c r="G35" s="117"/>
      <c r="H35" s="118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</row>
    <row r="36" spans="1:20" ht="25.5" customHeight="1" x14ac:dyDescent="0.25">
      <c r="A36" s="116"/>
      <c r="B36" s="117"/>
      <c r="C36" s="117"/>
      <c r="D36" s="117"/>
      <c r="E36" s="117"/>
      <c r="F36" s="117">
        <f t="shared" si="0"/>
        <v>0</v>
      </c>
      <c r="G36" s="117"/>
      <c r="H36" s="118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</row>
    <row r="37" spans="1:20" ht="25.5" customHeight="1" x14ac:dyDescent="0.25">
      <c r="A37" s="116"/>
      <c r="B37" s="117"/>
      <c r="C37" s="117"/>
      <c r="D37" s="117"/>
      <c r="E37" s="117"/>
      <c r="F37" s="117">
        <f t="shared" si="0"/>
        <v>0</v>
      </c>
      <c r="G37" s="117"/>
      <c r="H37" s="118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</row>
    <row r="38" spans="1:20" ht="25.5" customHeight="1" x14ac:dyDescent="0.25">
      <c r="A38" s="116"/>
      <c r="B38" s="117"/>
      <c r="C38" s="117"/>
      <c r="D38" s="117"/>
      <c r="E38" s="117"/>
      <c r="F38" s="117">
        <f t="shared" si="0"/>
        <v>0</v>
      </c>
      <c r="G38" s="117"/>
      <c r="H38" s="118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</row>
    <row r="39" spans="1:20" ht="41.25" customHeight="1" x14ac:dyDescent="0.25">
      <c r="A39" s="144" t="s">
        <v>6</v>
      </c>
      <c r="B39" s="144"/>
      <c r="C39" s="144"/>
      <c r="D39" s="117">
        <f>SUM(D4:D38)</f>
        <v>4551</v>
      </c>
      <c r="E39" s="120"/>
      <c r="F39" s="117">
        <f>SUM(F4:F38)</f>
        <v>3096</v>
      </c>
      <c r="G39" s="117">
        <f t="shared" ref="G39:T39" si="1">SUM(G4:G38)</f>
        <v>1350</v>
      </c>
      <c r="H39" s="118">
        <f t="shared" si="1"/>
        <v>63</v>
      </c>
      <c r="I39" s="117">
        <f t="shared" si="1"/>
        <v>0</v>
      </c>
      <c r="J39" s="117">
        <f t="shared" si="1"/>
        <v>0</v>
      </c>
      <c r="K39" s="117">
        <f t="shared" si="1"/>
        <v>0</v>
      </c>
      <c r="L39" s="117">
        <f t="shared" si="1"/>
        <v>113</v>
      </c>
      <c r="M39" s="117">
        <f t="shared" si="1"/>
        <v>0</v>
      </c>
      <c r="N39" s="117">
        <f t="shared" si="1"/>
        <v>300</v>
      </c>
      <c r="O39" s="117">
        <f t="shared" si="1"/>
        <v>205</v>
      </c>
      <c r="P39" s="117">
        <f t="shared" si="1"/>
        <v>15</v>
      </c>
      <c r="Q39" s="117">
        <f t="shared" si="1"/>
        <v>0</v>
      </c>
      <c r="R39" s="117">
        <f t="shared" si="1"/>
        <v>200</v>
      </c>
      <c r="S39" s="117">
        <f t="shared" si="1"/>
        <v>0</v>
      </c>
      <c r="T39" s="117">
        <f t="shared" si="1"/>
        <v>850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4551</v>
      </c>
      <c r="C42" s="8"/>
      <c r="E42" s="6">
        <v>200</v>
      </c>
      <c r="F42" s="7">
        <v>1</v>
      </c>
      <c r="G42" s="8">
        <f t="shared" ref="G42:G48" si="2">+E42*F42</f>
        <v>200</v>
      </c>
    </row>
    <row r="43" spans="1:20" ht="46.5" customHeight="1" x14ac:dyDescent="0.25">
      <c r="A43" s="10" t="s">
        <v>20</v>
      </c>
      <c r="B43" s="7">
        <f>D8</f>
        <v>930</v>
      </c>
      <c r="C43" s="8"/>
      <c r="E43" s="6">
        <v>100</v>
      </c>
      <c r="F43" s="7">
        <v>2</v>
      </c>
      <c r="G43" s="8">
        <f t="shared" si="2"/>
        <v>200</v>
      </c>
    </row>
    <row r="44" spans="1:20" ht="46.5" customHeight="1" x14ac:dyDescent="0.25">
      <c r="A44" s="10" t="s">
        <v>21</v>
      </c>
      <c r="B44" s="7">
        <f>F39</f>
        <v>3096</v>
      </c>
      <c r="C44" s="8"/>
      <c r="E44" s="6">
        <v>50</v>
      </c>
      <c r="F44" s="7">
        <v>1</v>
      </c>
      <c r="G44" s="8">
        <f t="shared" si="2"/>
        <v>50</v>
      </c>
    </row>
    <row r="45" spans="1:20" ht="51.75" customHeight="1" x14ac:dyDescent="0.25">
      <c r="A45" s="10" t="s">
        <v>22</v>
      </c>
      <c r="B45" s="12">
        <f>+B42-B43-B44</f>
        <v>525</v>
      </c>
      <c r="C45" s="13"/>
      <c r="E45" s="6">
        <v>20</v>
      </c>
      <c r="F45" s="7"/>
      <c r="G45" s="8">
        <f t="shared" si="2"/>
        <v>0</v>
      </c>
    </row>
    <row r="46" spans="1:20" ht="46.5" customHeight="1" x14ac:dyDescent="0.25">
      <c r="A46" s="10" t="s">
        <v>23</v>
      </c>
      <c r="B46" s="12">
        <f>G49</f>
        <v>525</v>
      </c>
      <c r="C46" s="13"/>
      <c r="D46" s="1"/>
      <c r="E46" s="6">
        <v>10</v>
      </c>
      <c r="F46" s="7"/>
      <c r="G46" s="8">
        <f t="shared" si="2"/>
        <v>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14</v>
      </c>
      <c r="G47" s="8">
        <f t="shared" si="2"/>
        <v>70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5</v>
      </c>
      <c r="G48" s="8">
        <f t="shared" si="2"/>
        <v>5</v>
      </c>
      <c r="I48">
        <f>3066-525</f>
        <v>2541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525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" right="0.15748031496062992" top="0.62992125984251968" bottom="0.82677165354330717" header="0.15748031496062992" footer="0"/>
  <pageSetup paperSize="9" scale="36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4" zoomScaleNormal="100" workbookViewId="0">
      <selection activeCell="F51" sqref="F51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8.57031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45130</v>
      </c>
      <c r="B4" s="7"/>
      <c r="C4" s="7" t="s">
        <v>14</v>
      </c>
      <c r="D4" s="7">
        <v>586</v>
      </c>
      <c r="E4" s="7" t="s">
        <v>96</v>
      </c>
      <c r="F4" s="7">
        <f>SUM(G4:T4)</f>
        <v>170</v>
      </c>
      <c r="G4" s="7">
        <v>170</v>
      </c>
      <c r="H4" s="90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45130</v>
      </c>
      <c r="B5" s="7"/>
      <c r="C5" s="7" t="s">
        <v>15</v>
      </c>
      <c r="D5" s="7">
        <v>2519</v>
      </c>
      <c r="E5" s="7" t="s">
        <v>181</v>
      </c>
      <c r="F5" s="7">
        <f t="shared" ref="F5:F38" si="0">SUM(G5:T5)</f>
        <v>30</v>
      </c>
      <c r="G5" s="7">
        <v>30</v>
      </c>
      <c r="H5" s="9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25.5" customHeight="1" x14ac:dyDescent="0.25">
      <c r="A6" s="68">
        <v>45130</v>
      </c>
      <c r="B6" s="7"/>
      <c r="C6" s="7" t="s">
        <v>16</v>
      </c>
      <c r="D6" s="7">
        <v>0</v>
      </c>
      <c r="E6" s="7" t="s">
        <v>211</v>
      </c>
      <c r="F6" s="7">
        <f t="shared" si="0"/>
        <v>100</v>
      </c>
      <c r="G6" s="7">
        <v>100</v>
      </c>
      <c r="H6" s="90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45130</v>
      </c>
      <c r="B7" s="7"/>
      <c r="C7" s="7" t="s">
        <v>17</v>
      </c>
      <c r="D7" s="7">
        <v>0</v>
      </c>
      <c r="E7" s="7" t="s">
        <v>90</v>
      </c>
      <c r="F7" s="7">
        <f t="shared" si="0"/>
        <v>50</v>
      </c>
      <c r="G7" s="7">
        <v>50</v>
      </c>
      <c r="H7" s="90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45130</v>
      </c>
      <c r="B8" s="7"/>
      <c r="C8" s="7" t="s">
        <v>18</v>
      </c>
      <c r="D8" s="7">
        <f>30+15+60+400+300+90+65</f>
        <v>960</v>
      </c>
      <c r="E8" s="7" t="s">
        <v>254</v>
      </c>
      <c r="F8" s="7">
        <f t="shared" si="0"/>
        <v>10</v>
      </c>
      <c r="G8" s="7"/>
      <c r="H8" s="90"/>
      <c r="I8" s="7"/>
      <c r="J8" s="7"/>
      <c r="K8" s="7"/>
      <c r="L8" s="7"/>
      <c r="M8" s="7"/>
      <c r="N8" s="7"/>
      <c r="O8" s="7"/>
      <c r="P8" s="7">
        <v>10</v>
      </c>
      <c r="Q8" s="7"/>
      <c r="R8" s="7"/>
      <c r="S8" s="7"/>
      <c r="T8" s="7"/>
    </row>
    <row r="9" spans="1:20" ht="25.5" customHeight="1" x14ac:dyDescent="0.25">
      <c r="A9" s="68">
        <v>45130</v>
      </c>
      <c r="B9" s="7"/>
      <c r="C9" s="7" t="s">
        <v>30</v>
      </c>
      <c r="D9" s="7">
        <v>0</v>
      </c>
      <c r="E9" s="7" t="s">
        <v>124</v>
      </c>
      <c r="F9" s="7">
        <f t="shared" si="0"/>
        <v>10</v>
      </c>
      <c r="G9" s="7"/>
      <c r="H9" s="90"/>
      <c r="I9" s="7"/>
      <c r="J9" s="7"/>
      <c r="K9" s="7"/>
      <c r="L9" s="7"/>
      <c r="M9" s="7">
        <v>10</v>
      </c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45130</v>
      </c>
      <c r="B10" s="7"/>
      <c r="C10" s="7" t="s">
        <v>46</v>
      </c>
      <c r="D10" s="7">
        <v>0</v>
      </c>
      <c r="E10" s="7" t="s">
        <v>255</v>
      </c>
      <c r="F10" s="7">
        <f t="shared" si="0"/>
        <v>75</v>
      </c>
      <c r="G10" s="7"/>
      <c r="H10" s="90">
        <v>75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45130</v>
      </c>
      <c r="B11" s="7"/>
      <c r="C11" s="7"/>
      <c r="D11" s="7"/>
      <c r="E11" s="7" t="s">
        <v>94</v>
      </c>
      <c r="F11" s="7">
        <f t="shared" si="0"/>
        <v>30</v>
      </c>
      <c r="G11" s="7">
        <v>30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45130</v>
      </c>
      <c r="B12" s="7"/>
      <c r="C12" s="7"/>
      <c r="D12" s="7"/>
      <c r="E12" s="7" t="s">
        <v>169</v>
      </c>
      <c r="F12" s="7">
        <f t="shared" si="0"/>
        <v>11</v>
      </c>
      <c r="G12" s="7"/>
      <c r="H12" s="90"/>
      <c r="I12" s="7"/>
      <c r="J12" s="7"/>
      <c r="K12" s="7"/>
      <c r="L12" s="7"/>
      <c r="M12" s="7"/>
      <c r="N12" s="7">
        <v>11</v>
      </c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45130</v>
      </c>
      <c r="B13" s="7"/>
      <c r="C13" s="7"/>
      <c r="D13" s="7"/>
      <c r="E13" s="7" t="s">
        <v>238</v>
      </c>
      <c r="F13" s="7">
        <f t="shared" si="0"/>
        <v>150</v>
      </c>
      <c r="G13" s="7"/>
      <c r="H13" s="90"/>
      <c r="I13" s="7"/>
      <c r="J13" s="7"/>
      <c r="K13" s="7"/>
      <c r="L13" s="7"/>
      <c r="M13" s="7"/>
      <c r="N13" s="7"/>
      <c r="O13" s="7"/>
      <c r="P13" s="7"/>
      <c r="Q13" s="7"/>
      <c r="R13" s="7">
        <v>150</v>
      </c>
      <c r="S13" s="7"/>
      <c r="T13" s="7"/>
    </row>
    <row r="14" spans="1:20" ht="25.5" customHeight="1" x14ac:dyDescent="0.25">
      <c r="A14" s="68">
        <v>45130</v>
      </c>
      <c r="B14" s="7"/>
      <c r="C14" s="7"/>
      <c r="D14" s="7"/>
      <c r="E14" s="7" t="s">
        <v>103</v>
      </c>
      <c r="F14" s="7">
        <f t="shared" si="0"/>
        <v>160</v>
      </c>
      <c r="G14" s="7">
        <v>160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45130</v>
      </c>
      <c r="B15" s="7"/>
      <c r="C15" s="7"/>
      <c r="D15" s="7"/>
      <c r="E15" s="7" t="s">
        <v>87</v>
      </c>
      <c r="F15" s="7">
        <f t="shared" si="0"/>
        <v>150</v>
      </c>
      <c r="G15" s="7">
        <v>150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45130</v>
      </c>
      <c r="B16" s="7"/>
      <c r="C16" s="7"/>
      <c r="D16" s="7"/>
      <c r="E16" s="7" t="s">
        <v>91</v>
      </c>
      <c r="F16" s="7">
        <f t="shared" si="0"/>
        <v>200</v>
      </c>
      <c r="G16" s="7">
        <v>200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45130</v>
      </c>
      <c r="B17" s="7"/>
      <c r="C17" s="7"/>
      <c r="D17" s="7"/>
      <c r="E17" s="7" t="s">
        <v>98</v>
      </c>
      <c r="F17" s="7">
        <f t="shared" si="0"/>
        <v>120</v>
      </c>
      <c r="G17" s="7">
        <v>120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45130</v>
      </c>
      <c r="B18" s="7"/>
      <c r="C18" s="7"/>
      <c r="D18" s="7"/>
      <c r="E18" s="7" t="s">
        <v>125</v>
      </c>
      <c r="F18" s="7">
        <f t="shared" si="0"/>
        <v>90</v>
      </c>
      <c r="G18" s="7"/>
      <c r="H18" s="90"/>
      <c r="I18" s="7"/>
      <c r="J18" s="7"/>
      <c r="K18" s="7"/>
      <c r="L18" s="7">
        <v>90</v>
      </c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45130</v>
      </c>
      <c r="B19" s="7"/>
      <c r="C19" s="7"/>
      <c r="D19" s="7"/>
      <c r="E19" s="7" t="s">
        <v>256</v>
      </c>
      <c r="F19" s="7">
        <f t="shared" si="0"/>
        <v>14</v>
      </c>
      <c r="G19" s="7"/>
      <c r="H19" s="90">
        <v>14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45130</v>
      </c>
      <c r="B20" s="7"/>
      <c r="C20" s="7"/>
      <c r="D20" s="7"/>
      <c r="E20" s="7" t="s">
        <v>257</v>
      </c>
      <c r="F20" s="7">
        <f t="shared" si="0"/>
        <v>50</v>
      </c>
      <c r="G20" s="7">
        <v>50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45130</v>
      </c>
      <c r="B21" s="7"/>
      <c r="C21" s="7"/>
      <c r="D21" s="7"/>
      <c r="E21" s="7" t="s">
        <v>99</v>
      </c>
      <c r="F21" s="7">
        <f t="shared" si="0"/>
        <v>150</v>
      </c>
      <c r="G21" s="7">
        <v>150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/>
      <c r="B22" s="7"/>
      <c r="C22" s="7"/>
      <c r="D22" s="7"/>
      <c r="E22" s="7" t="s">
        <v>88</v>
      </c>
      <c r="F22" s="7">
        <f t="shared" si="0"/>
        <v>160</v>
      </c>
      <c r="G22" s="7">
        <v>160</v>
      </c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/>
      <c r="B23" s="7"/>
      <c r="C23" s="7"/>
      <c r="D23" s="7"/>
      <c r="E23" s="7" t="s">
        <v>86</v>
      </c>
      <c r="F23" s="7">
        <f t="shared" si="0"/>
        <v>170</v>
      </c>
      <c r="G23" s="7">
        <v>170</v>
      </c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>
        <v>45068</v>
      </c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4065</v>
      </c>
      <c r="E39" s="119"/>
      <c r="F39" s="7">
        <f>SUM(F4:F38)</f>
        <v>1900</v>
      </c>
      <c r="G39" s="7">
        <f t="shared" ref="G39:T39" si="1">SUM(G4:G38)</f>
        <v>1540</v>
      </c>
      <c r="H39" s="90">
        <f t="shared" si="1"/>
        <v>89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90</v>
      </c>
      <c r="M39" s="7">
        <f t="shared" si="1"/>
        <v>10</v>
      </c>
      <c r="N39" s="7">
        <f t="shared" si="1"/>
        <v>11</v>
      </c>
      <c r="O39" s="7">
        <f t="shared" si="1"/>
        <v>0</v>
      </c>
      <c r="P39" s="7">
        <f t="shared" si="1"/>
        <v>10</v>
      </c>
      <c r="Q39" s="7">
        <f t="shared" si="1"/>
        <v>0</v>
      </c>
      <c r="R39" s="7">
        <f t="shared" si="1"/>
        <v>150</v>
      </c>
      <c r="S39" s="7">
        <f t="shared" si="1"/>
        <v>0</v>
      </c>
      <c r="T39" s="7">
        <f t="shared" si="1"/>
        <v>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4065</v>
      </c>
      <c r="C42" s="8"/>
      <c r="E42" s="6">
        <v>200</v>
      </c>
      <c r="F42" s="7">
        <v>1</v>
      </c>
      <c r="G42" s="8">
        <f t="shared" ref="G42:G48" si="2">+E42*F42</f>
        <v>200</v>
      </c>
    </row>
    <row r="43" spans="1:20" ht="46.5" customHeight="1" x14ac:dyDescent="0.25">
      <c r="A43" s="10" t="s">
        <v>20</v>
      </c>
      <c r="B43" s="7">
        <f>D8</f>
        <v>960</v>
      </c>
      <c r="C43" s="8"/>
      <c r="E43" s="6">
        <v>100</v>
      </c>
      <c r="F43" s="7">
        <v>9</v>
      </c>
      <c r="G43" s="8">
        <f t="shared" si="2"/>
        <v>900</v>
      </c>
    </row>
    <row r="44" spans="1:20" ht="46.5" customHeight="1" x14ac:dyDescent="0.25">
      <c r="A44" s="10" t="s">
        <v>21</v>
      </c>
      <c r="B44" s="7">
        <f>F39</f>
        <v>1900</v>
      </c>
      <c r="C44" s="8"/>
      <c r="E44" s="6">
        <v>50</v>
      </c>
      <c r="F44" s="7">
        <v>1</v>
      </c>
      <c r="G44" s="8">
        <f t="shared" si="2"/>
        <v>50</v>
      </c>
    </row>
    <row r="45" spans="1:20" ht="51.75" customHeight="1" x14ac:dyDescent="0.25">
      <c r="A45" s="10" t="s">
        <v>22</v>
      </c>
      <c r="B45" s="12">
        <f>+B42-B43-B44</f>
        <v>1205</v>
      </c>
      <c r="C45" s="13"/>
      <c r="E45" s="6">
        <v>20</v>
      </c>
      <c r="F45" s="7">
        <v>2</v>
      </c>
      <c r="G45" s="8">
        <f t="shared" si="2"/>
        <v>40</v>
      </c>
    </row>
    <row r="46" spans="1:20" ht="46.5" customHeight="1" x14ac:dyDescent="0.25">
      <c r="A46" s="10" t="s">
        <v>23</v>
      </c>
      <c r="B46" s="12">
        <f>G49</f>
        <v>1205</v>
      </c>
      <c r="C46" s="13"/>
      <c r="D46" s="1"/>
      <c r="E46" s="6">
        <v>10</v>
      </c>
      <c r="F46" s="7"/>
      <c r="G46" s="8">
        <f t="shared" si="2"/>
        <v>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1</v>
      </c>
      <c r="G47" s="8">
        <f t="shared" si="2"/>
        <v>5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10</v>
      </c>
      <c r="G48" s="8">
        <f t="shared" si="2"/>
        <v>10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1205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31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2" zoomScale="78" zoomScaleNormal="78" workbookViewId="0">
      <selection activeCell="I46" sqref="I46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5703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45131</v>
      </c>
      <c r="B4" s="7"/>
      <c r="C4" s="7" t="s">
        <v>14</v>
      </c>
      <c r="D4" s="7">
        <v>790</v>
      </c>
      <c r="E4" s="7" t="s">
        <v>163</v>
      </c>
      <c r="F4" s="7">
        <f>SUM(G4:T4)</f>
        <v>55</v>
      </c>
      <c r="G4" s="7"/>
      <c r="H4" s="90">
        <v>55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45131</v>
      </c>
      <c r="B5" s="7"/>
      <c r="C5" s="7" t="s">
        <v>15</v>
      </c>
      <c r="D5" s="7">
        <v>2605</v>
      </c>
      <c r="E5" s="7" t="s">
        <v>260</v>
      </c>
      <c r="F5" s="7">
        <f t="shared" ref="F5:F38" si="0">SUM(G5:T5)</f>
        <v>10</v>
      </c>
      <c r="G5" s="7"/>
      <c r="H5" s="90">
        <v>10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25.5" customHeight="1" x14ac:dyDescent="0.25">
      <c r="A6" s="68">
        <v>45131</v>
      </c>
      <c r="B6" s="7"/>
      <c r="C6" s="7" t="s">
        <v>16</v>
      </c>
      <c r="D6" s="7">
        <v>0</v>
      </c>
      <c r="E6" s="7" t="s">
        <v>124</v>
      </c>
      <c r="F6" s="7">
        <f t="shared" si="0"/>
        <v>90</v>
      </c>
      <c r="G6" s="7"/>
      <c r="H6" s="90"/>
      <c r="I6" s="7"/>
      <c r="J6" s="7"/>
      <c r="K6" s="7"/>
      <c r="L6" s="7"/>
      <c r="M6" s="7">
        <f>50+30+10</f>
        <v>90</v>
      </c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45131</v>
      </c>
      <c r="B7" s="7"/>
      <c r="C7" s="7" t="s">
        <v>17</v>
      </c>
      <c r="D7" s="7">
        <v>542</v>
      </c>
      <c r="E7" s="7" t="s">
        <v>125</v>
      </c>
      <c r="F7" s="7">
        <f t="shared" si="0"/>
        <v>135</v>
      </c>
      <c r="G7" s="7"/>
      <c r="H7" s="90"/>
      <c r="I7" s="7"/>
      <c r="J7" s="7"/>
      <c r="K7" s="7"/>
      <c r="L7" s="7">
        <f>90+45</f>
        <v>135</v>
      </c>
      <c r="M7" s="7"/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45131</v>
      </c>
      <c r="B8" s="7"/>
      <c r="C8" s="7" t="s">
        <v>18</v>
      </c>
      <c r="D8" s="7">
        <f>25+75+246+80+225+3000</f>
        <v>3651</v>
      </c>
      <c r="E8" s="7" t="s">
        <v>129</v>
      </c>
      <c r="F8" s="7">
        <f t="shared" si="0"/>
        <v>670</v>
      </c>
      <c r="G8" s="7"/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>
        <f>370+300</f>
        <v>670</v>
      </c>
    </row>
    <row r="9" spans="1:20" ht="25.5" customHeight="1" x14ac:dyDescent="0.25">
      <c r="A9" s="68">
        <v>45131</v>
      </c>
      <c r="B9" s="7"/>
      <c r="C9" s="7" t="s">
        <v>30</v>
      </c>
      <c r="D9" s="7">
        <v>0</v>
      </c>
      <c r="E9" s="7" t="s">
        <v>126</v>
      </c>
      <c r="F9" s="7">
        <f t="shared" si="0"/>
        <v>100</v>
      </c>
      <c r="G9" s="7"/>
      <c r="H9" s="90"/>
      <c r="I9" s="7"/>
      <c r="J9" s="7"/>
      <c r="K9" s="7"/>
      <c r="L9" s="7"/>
      <c r="M9" s="7"/>
      <c r="N9" s="7"/>
      <c r="O9" s="7"/>
      <c r="P9" s="7"/>
      <c r="Q9" s="7"/>
      <c r="R9" s="7">
        <v>100</v>
      </c>
      <c r="S9" s="7"/>
      <c r="T9" s="7"/>
    </row>
    <row r="10" spans="1:20" ht="25.5" customHeight="1" x14ac:dyDescent="0.25">
      <c r="A10" s="68">
        <v>45131</v>
      </c>
      <c r="B10" s="7"/>
      <c r="C10" s="7" t="s">
        <v>46</v>
      </c>
      <c r="D10" s="7">
        <v>0</v>
      </c>
      <c r="E10" s="7" t="s">
        <v>104</v>
      </c>
      <c r="F10" s="7">
        <f t="shared" si="0"/>
        <v>160</v>
      </c>
      <c r="G10" s="7">
        <v>160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45131</v>
      </c>
      <c r="B11" s="7"/>
      <c r="C11" s="7"/>
      <c r="D11" s="7"/>
      <c r="E11" s="7" t="s">
        <v>103</v>
      </c>
      <c r="F11" s="7">
        <f t="shared" si="0"/>
        <v>160</v>
      </c>
      <c r="G11" s="7">
        <v>160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45131</v>
      </c>
      <c r="B12" s="7"/>
      <c r="C12" s="7"/>
      <c r="D12" s="7"/>
      <c r="E12" s="7" t="s">
        <v>261</v>
      </c>
      <c r="F12" s="7">
        <f t="shared" si="0"/>
        <v>30</v>
      </c>
      <c r="G12" s="7">
        <v>30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45131</v>
      </c>
      <c r="B13" s="7"/>
      <c r="C13" s="7"/>
      <c r="D13" s="7"/>
      <c r="E13" s="7" t="s">
        <v>90</v>
      </c>
      <c r="F13" s="7">
        <f t="shared" si="0"/>
        <v>50</v>
      </c>
      <c r="G13" s="7">
        <v>50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45131</v>
      </c>
      <c r="B14" s="7"/>
      <c r="C14" s="7"/>
      <c r="D14" s="7"/>
      <c r="E14" s="7" t="s">
        <v>94</v>
      </c>
      <c r="F14" s="7">
        <f t="shared" si="0"/>
        <v>30</v>
      </c>
      <c r="G14" s="7">
        <v>30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45131</v>
      </c>
      <c r="B15" s="7"/>
      <c r="C15" s="7"/>
      <c r="D15" s="7"/>
      <c r="E15" s="7" t="s">
        <v>96</v>
      </c>
      <c r="F15" s="7">
        <f t="shared" si="0"/>
        <v>170</v>
      </c>
      <c r="G15" s="7">
        <v>170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45131</v>
      </c>
      <c r="B16" s="7"/>
      <c r="C16" s="7"/>
      <c r="D16" s="7"/>
      <c r="E16" s="7" t="s">
        <v>98</v>
      </c>
      <c r="F16" s="7">
        <f t="shared" si="0"/>
        <v>120</v>
      </c>
      <c r="G16" s="7">
        <v>120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45131</v>
      </c>
      <c r="B17" s="7"/>
      <c r="C17" s="7"/>
      <c r="D17" s="7"/>
      <c r="E17" s="7" t="s">
        <v>99</v>
      </c>
      <c r="F17" s="7">
        <f t="shared" si="0"/>
        <v>150</v>
      </c>
      <c r="G17" s="7">
        <v>150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/>
      <c r="B18" s="7"/>
      <c r="C18" s="7"/>
      <c r="D18" s="7"/>
      <c r="E18" s="7" t="s">
        <v>92</v>
      </c>
      <c r="F18" s="7">
        <f t="shared" si="0"/>
        <v>120</v>
      </c>
      <c r="G18" s="7">
        <v>120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/>
      <c r="B19" s="7"/>
      <c r="C19" s="7"/>
      <c r="D19" s="7"/>
      <c r="E19" s="7" t="s">
        <v>86</v>
      </c>
      <c r="F19" s="7">
        <f t="shared" si="0"/>
        <v>170</v>
      </c>
      <c r="G19" s="7">
        <v>170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/>
      <c r="B20" s="7"/>
      <c r="C20" s="7"/>
      <c r="D20" s="7"/>
      <c r="E20" s="7" t="s">
        <v>91</v>
      </c>
      <c r="F20" s="7">
        <f t="shared" si="0"/>
        <v>200</v>
      </c>
      <c r="G20" s="7">
        <v>200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/>
      <c r="B21" s="7"/>
      <c r="C21" s="7"/>
      <c r="D21" s="7"/>
      <c r="E21" s="7" t="s">
        <v>179</v>
      </c>
      <c r="F21" s="7">
        <f t="shared" si="0"/>
        <v>150</v>
      </c>
      <c r="G21" s="7">
        <v>150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/>
      <c r="B22" s="7"/>
      <c r="C22" s="7"/>
      <c r="D22" s="7"/>
      <c r="E22" s="7"/>
      <c r="F22" s="7">
        <f t="shared" si="0"/>
        <v>0</v>
      </c>
      <c r="G22" s="7"/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/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7588</v>
      </c>
      <c r="E39" s="119"/>
      <c r="F39" s="7">
        <f>SUM(F4:F38)</f>
        <v>2570</v>
      </c>
      <c r="G39" s="7">
        <f t="shared" ref="G39:T39" si="1">SUM(G4:G38)</f>
        <v>1510</v>
      </c>
      <c r="H39" s="90">
        <f t="shared" si="1"/>
        <v>65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135</v>
      </c>
      <c r="M39" s="7">
        <f t="shared" si="1"/>
        <v>90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100</v>
      </c>
      <c r="S39" s="7">
        <f t="shared" si="1"/>
        <v>0</v>
      </c>
      <c r="T39" s="7">
        <f t="shared" si="1"/>
        <v>670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7588</v>
      </c>
      <c r="C42" s="8"/>
      <c r="E42" s="6">
        <v>200</v>
      </c>
      <c r="F42" s="7">
        <v>4</v>
      </c>
      <c r="G42" s="8">
        <f t="shared" ref="G42:G48" si="2">+E42*F42</f>
        <v>800</v>
      </c>
    </row>
    <row r="43" spans="1:20" ht="46.5" customHeight="1" x14ac:dyDescent="0.25">
      <c r="A43" s="10" t="s">
        <v>20</v>
      </c>
      <c r="B43" s="7">
        <f>D8</f>
        <v>3651</v>
      </c>
      <c r="C43" s="8"/>
      <c r="E43" s="6">
        <v>100</v>
      </c>
      <c r="F43" s="7">
        <v>5</v>
      </c>
      <c r="G43" s="8">
        <f t="shared" si="2"/>
        <v>500</v>
      </c>
    </row>
    <row r="44" spans="1:20" ht="46.5" customHeight="1" x14ac:dyDescent="0.25">
      <c r="A44" s="10" t="s">
        <v>21</v>
      </c>
      <c r="B44" s="7">
        <f>F39</f>
        <v>2570</v>
      </c>
      <c r="C44" s="8"/>
      <c r="E44" s="6">
        <v>50</v>
      </c>
      <c r="F44" s="7"/>
      <c r="G44" s="8">
        <f t="shared" si="2"/>
        <v>0</v>
      </c>
    </row>
    <row r="45" spans="1:20" ht="51.75" customHeight="1" x14ac:dyDescent="0.25">
      <c r="A45" s="10" t="s">
        <v>22</v>
      </c>
      <c r="B45" s="12">
        <f>+B42-B43-B44</f>
        <v>1367</v>
      </c>
      <c r="C45" s="13"/>
      <c r="E45" s="6">
        <v>20</v>
      </c>
      <c r="F45" s="7"/>
      <c r="G45" s="8">
        <f t="shared" si="2"/>
        <v>0</v>
      </c>
    </row>
    <row r="46" spans="1:20" ht="46.5" customHeight="1" x14ac:dyDescent="0.25">
      <c r="A46" s="10" t="s">
        <v>23</v>
      </c>
      <c r="B46" s="12">
        <f>G49</f>
        <v>1367</v>
      </c>
      <c r="C46" s="13"/>
      <c r="D46" s="1"/>
      <c r="E46" s="6">
        <v>10</v>
      </c>
      <c r="F46" s="7">
        <v>1</v>
      </c>
      <c r="G46" s="8">
        <f t="shared" si="2"/>
        <v>10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8</v>
      </c>
      <c r="G47" s="8">
        <f t="shared" si="2"/>
        <v>40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17</v>
      </c>
      <c r="G48" s="8">
        <f t="shared" si="2"/>
        <v>17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1367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7" zoomScale="93" zoomScaleNormal="93" workbookViewId="0">
      <selection activeCell="H47" sqref="H47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5703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45132</v>
      </c>
      <c r="B4" s="7"/>
      <c r="C4" s="7" t="s">
        <v>14</v>
      </c>
      <c r="D4" s="7">
        <v>514</v>
      </c>
      <c r="E4" s="7" t="s">
        <v>141</v>
      </c>
      <c r="F4" s="7">
        <f>SUM(G4:T4)</f>
        <v>60</v>
      </c>
      <c r="G4" s="7"/>
      <c r="H4" s="90">
        <v>60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45132</v>
      </c>
      <c r="B5" s="7"/>
      <c r="C5" s="7" t="s">
        <v>15</v>
      </c>
      <c r="D5" s="7">
        <v>2385</v>
      </c>
      <c r="E5" s="7" t="s">
        <v>238</v>
      </c>
      <c r="F5" s="7">
        <f t="shared" ref="F5:F38" si="0">SUM(G5:T5)</f>
        <v>100</v>
      </c>
      <c r="G5" s="7"/>
      <c r="H5" s="90"/>
      <c r="I5" s="7"/>
      <c r="J5" s="7"/>
      <c r="K5" s="7"/>
      <c r="L5" s="7"/>
      <c r="M5" s="7"/>
      <c r="N5" s="7"/>
      <c r="O5" s="7"/>
      <c r="P5" s="7"/>
      <c r="Q5" s="7"/>
      <c r="R5" s="7">
        <v>100</v>
      </c>
      <c r="S5" s="7"/>
      <c r="T5" s="7"/>
    </row>
    <row r="6" spans="1:20" ht="25.5" customHeight="1" x14ac:dyDescent="0.25">
      <c r="A6" s="68">
        <v>45132</v>
      </c>
      <c r="B6" s="7"/>
      <c r="C6" s="7" t="s">
        <v>16</v>
      </c>
      <c r="D6" s="7">
        <v>0</v>
      </c>
      <c r="E6" s="7" t="s">
        <v>83</v>
      </c>
      <c r="F6" s="7">
        <f t="shared" si="0"/>
        <v>10</v>
      </c>
      <c r="G6" s="7"/>
      <c r="H6" s="90"/>
      <c r="I6" s="7"/>
      <c r="J6" s="7"/>
      <c r="K6" s="7"/>
      <c r="L6" s="7"/>
      <c r="M6" s="7"/>
      <c r="N6" s="7"/>
      <c r="O6" s="7"/>
      <c r="P6" s="7">
        <f>5+5</f>
        <v>10</v>
      </c>
      <c r="Q6" s="7"/>
      <c r="R6" s="7"/>
      <c r="S6" s="7"/>
      <c r="T6" s="7"/>
    </row>
    <row r="7" spans="1:20" ht="25.5" customHeight="1" x14ac:dyDescent="0.25">
      <c r="A7" s="68">
        <v>45132</v>
      </c>
      <c r="B7" s="7"/>
      <c r="C7" s="7" t="s">
        <v>17</v>
      </c>
      <c r="D7" s="7">
        <v>210</v>
      </c>
      <c r="E7" s="7" t="s">
        <v>263</v>
      </c>
      <c r="F7" s="7">
        <f t="shared" si="0"/>
        <v>340</v>
      </c>
      <c r="G7" s="7">
        <f>170*2</f>
        <v>340</v>
      </c>
      <c r="H7" s="90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45132</v>
      </c>
      <c r="B8" s="7"/>
      <c r="C8" s="7" t="s">
        <v>18</v>
      </c>
      <c r="D8" s="7">
        <f>3000+500+25+35+1175+45+95+89</f>
        <v>4964</v>
      </c>
      <c r="E8" s="7" t="s">
        <v>92</v>
      </c>
      <c r="F8" s="7">
        <f t="shared" si="0"/>
        <v>100</v>
      </c>
      <c r="G8" s="7">
        <v>100</v>
      </c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45132</v>
      </c>
      <c r="B9" s="7"/>
      <c r="C9" s="7" t="s">
        <v>30</v>
      </c>
      <c r="D9" s="7">
        <v>0</v>
      </c>
      <c r="E9" s="7" t="s">
        <v>88</v>
      </c>
      <c r="F9" s="7">
        <f t="shared" si="0"/>
        <v>160</v>
      </c>
      <c r="G9" s="7">
        <v>160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45132</v>
      </c>
      <c r="B10" s="7"/>
      <c r="C10" s="7" t="s">
        <v>46</v>
      </c>
      <c r="D10" s="7">
        <v>0</v>
      </c>
      <c r="E10" s="7" t="s">
        <v>182</v>
      </c>
      <c r="F10" s="7">
        <f t="shared" si="0"/>
        <v>200</v>
      </c>
      <c r="G10" s="7">
        <v>200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45132</v>
      </c>
      <c r="B11" s="7"/>
      <c r="C11" s="7"/>
      <c r="D11" s="7"/>
      <c r="E11" s="7" t="s">
        <v>87</v>
      </c>
      <c r="F11" s="7">
        <f t="shared" si="0"/>
        <v>150</v>
      </c>
      <c r="G11" s="7">
        <v>150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45132</v>
      </c>
      <c r="B12" s="7"/>
      <c r="C12" s="7"/>
      <c r="D12" s="7"/>
      <c r="E12" s="7" t="s">
        <v>90</v>
      </c>
      <c r="F12" s="7">
        <f t="shared" si="0"/>
        <v>40</v>
      </c>
      <c r="G12" s="7">
        <v>40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45132</v>
      </c>
      <c r="B13" s="7"/>
      <c r="C13" s="7"/>
      <c r="D13" s="7"/>
      <c r="E13" s="7" t="s">
        <v>262</v>
      </c>
      <c r="F13" s="7">
        <f t="shared" si="0"/>
        <v>30</v>
      </c>
      <c r="G13" s="7"/>
      <c r="H13" s="90"/>
      <c r="I13" s="7"/>
      <c r="J13" s="7"/>
      <c r="K13" s="7"/>
      <c r="L13" s="7"/>
      <c r="M13" s="7"/>
      <c r="N13" s="7">
        <v>30</v>
      </c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45132</v>
      </c>
      <c r="B14" s="7"/>
      <c r="C14" s="7"/>
      <c r="D14" s="7"/>
      <c r="E14" s="7" t="s">
        <v>98</v>
      </c>
      <c r="F14" s="7">
        <f t="shared" si="0"/>
        <v>120</v>
      </c>
      <c r="G14" s="7">
        <v>120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45132</v>
      </c>
      <c r="B15" s="7"/>
      <c r="C15" s="7"/>
      <c r="D15" s="7"/>
      <c r="E15" s="7" t="s">
        <v>93</v>
      </c>
      <c r="F15" s="7">
        <f t="shared" si="0"/>
        <v>50</v>
      </c>
      <c r="G15" s="7">
        <v>50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45132</v>
      </c>
      <c r="B16" s="7"/>
      <c r="C16" s="7"/>
      <c r="D16" s="7"/>
      <c r="E16" s="7" t="s">
        <v>99</v>
      </c>
      <c r="F16" s="7">
        <f t="shared" si="0"/>
        <v>150</v>
      </c>
      <c r="G16" s="7">
        <v>150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45132</v>
      </c>
      <c r="B17" s="7"/>
      <c r="C17" s="7"/>
      <c r="D17" s="7"/>
      <c r="E17" s="7" t="s">
        <v>129</v>
      </c>
      <c r="F17" s="7">
        <f t="shared" si="0"/>
        <v>500</v>
      </c>
      <c r="G17" s="7"/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>
        <v>500</v>
      </c>
    </row>
    <row r="18" spans="1:20" ht="25.5" customHeight="1" x14ac:dyDescent="0.25">
      <c r="A18" s="68">
        <v>45132</v>
      </c>
      <c r="B18" s="7"/>
      <c r="C18" s="7"/>
      <c r="D18" s="7"/>
      <c r="E18" s="7" t="s">
        <v>103</v>
      </c>
      <c r="F18" s="7">
        <f t="shared" si="0"/>
        <v>160</v>
      </c>
      <c r="G18" s="7">
        <v>160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45132</v>
      </c>
      <c r="B19" s="7"/>
      <c r="C19" s="7"/>
      <c r="D19" s="7"/>
      <c r="E19" s="7" t="s">
        <v>125</v>
      </c>
      <c r="F19" s="7">
        <f t="shared" si="0"/>
        <v>90</v>
      </c>
      <c r="G19" s="7"/>
      <c r="H19" s="90"/>
      <c r="I19" s="7"/>
      <c r="J19" s="7"/>
      <c r="K19" s="7"/>
      <c r="L19" s="7">
        <v>90</v>
      </c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/>
      <c r="B20" s="7"/>
      <c r="C20" s="7"/>
      <c r="D20" s="7"/>
      <c r="E20" s="7" t="s">
        <v>107</v>
      </c>
      <c r="F20" s="7">
        <f t="shared" si="0"/>
        <v>30</v>
      </c>
      <c r="G20" s="7">
        <v>30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/>
      <c r="B21" s="7"/>
      <c r="C21" s="7"/>
      <c r="D21" s="7"/>
      <c r="E21" s="7"/>
      <c r="F21" s="7">
        <f t="shared" si="0"/>
        <v>0</v>
      </c>
      <c r="G21" s="7"/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/>
      <c r="B22" s="7"/>
      <c r="C22" s="7"/>
      <c r="D22" s="7"/>
      <c r="E22" s="7"/>
      <c r="F22" s="7">
        <f t="shared" si="0"/>
        <v>0</v>
      </c>
      <c r="G22" s="7"/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/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8073</v>
      </c>
      <c r="E39" s="119"/>
      <c r="F39" s="7">
        <f>SUM(F4:F38)</f>
        <v>2290</v>
      </c>
      <c r="G39" s="7">
        <f t="shared" ref="G39:T39" si="1">SUM(G4:G38)</f>
        <v>1500</v>
      </c>
      <c r="H39" s="90">
        <f t="shared" si="1"/>
        <v>60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90</v>
      </c>
      <c r="M39" s="7">
        <f t="shared" si="1"/>
        <v>0</v>
      </c>
      <c r="N39" s="7">
        <f t="shared" si="1"/>
        <v>30</v>
      </c>
      <c r="O39" s="7">
        <f t="shared" si="1"/>
        <v>0</v>
      </c>
      <c r="P39" s="7">
        <f t="shared" si="1"/>
        <v>10</v>
      </c>
      <c r="Q39" s="7">
        <f t="shared" si="1"/>
        <v>0</v>
      </c>
      <c r="R39" s="7">
        <f t="shared" si="1"/>
        <v>100</v>
      </c>
      <c r="S39" s="7">
        <f t="shared" si="1"/>
        <v>0</v>
      </c>
      <c r="T39" s="7">
        <f t="shared" si="1"/>
        <v>500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8073</v>
      </c>
      <c r="C42" s="8"/>
      <c r="E42" s="6">
        <v>200</v>
      </c>
      <c r="F42" s="7">
        <v>2</v>
      </c>
      <c r="G42" s="8">
        <f t="shared" ref="G42:G48" si="2">+E42*F42</f>
        <v>400</v>
      </c>
    </row>
    <row r="43" spans="1:20" ht="46.5" customHeight="1" x14ac:dyDescent="0.25">
      <c r="A43" s="10" t="s">
        <v>20</v>
      </c>
      <c r="B43" s="7">
        <f>D8</f>
        <v>4964</v>
      </c>
      <c r="C43" s="8"/>
      <c r="E43" s="6">
        <v>100</v>
      </c>
      <c r="F43" s="7">
        <v>3</v>
      </c>
      <c r="G43" s="8">
        <f t="shared" si="2"/>
        <v>300</v>
      </c>
    </row>
    <row r="44" spans="1:20" ht="46.5" customHeight="1" x14ac:dyDescent="0.25">
      <c r="A44" s="10" t="s">
        <v>21</v>
      </c>
      <c r="B44" s="7">
        <f>F39</f>
        <v>2290</v>
      </c>
      <c r="C44" s="8"/>
      <c r="E44" s="6">
        <v>50</v>
      </c>
      <c r="F44" s="7"/>
      <c r="G44" s="8">
        <f t="shared" si="2"/>
        <v>0</v>
      </c>
    </row>
    <row r="45" spans="1:20" ht="51.75" customHeight="1" x14ac:dyDescent="0.25">
      <c r="A45" s="10" t="s">
        <v>22</v>
      </c>
      <c r="B45" s="12">
        <f>+B42-B43-B44</f>
        <v>819</v>
      </c>
      <c r="C45" s="13"/>
      <c r="E45" s="6">
        <v>20</v>
      </c>
      <c r="F45" s="7">
        <v>1</v>
      </c>
      <c r="G45" s="8">
        <f t="shared" si="2"/>
        <v>20</v>
      </c>
    </row>
    <row r="46" spans="1:20" ht="46.5" customHeight="1" x14ac:dyDescent="0.25">
      <c r="A46" s="10" t="s">
        <v>23</v>
      </c>
      <c r="B46" s="12">
        <f>G49</f>
        <v>820</v>
      </c>
      <c r="C46" s="13"/>
      <c r="D46" s="1"/>
      <c r="E46" s="6">
        <v>10</v>
      </c>
      <c r="F46" s="7">
        <v>1</v>
      </c>
      <c r="G46" s="8">
        <f t="shared" si="2"/>
        <v>10</v>
      </c>
    </row>
    <row r="47" spans="1:20" ht="34.5" customHeight="1" x14ac:dyDescent="0.25">
      <c r="A47" s="10" t="s">
        <v>24</v>
      </c>
      <c r="B47" s="12">
        <f>IF(B45&lt;B46,B46-B45,0)</f>
        <v>1</v>
      </c>
      <c r="C47" s="13"/>
      <c r="E47" s="6">
        <v>5</v>
      </c>
      <c r="F47" s="7">
        <v>17</v>
      </c>
      <c r="G47" s="8">
        <f t="shared" si="2"/>
        <v>85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5</v>
      </c>
      <c r="G48" s="8">
        <f t="shared" si="2"/>
        <v>5</v>
      </c>
    </row>
    <row r="49" spans="1:7" ht="30" customHeight="1" thickBot="1" x14ac:dyDescent="0.35">
      <c r="A49" s="11" t="s">
        <v>29</v>
      </c>
      <c r="B49" s="14" t="b">
        <f>B45=B46</f>
        <v>0</v>
      </c>
      <c r="C49" s="15"/>
      <c r="E49" s="137" t="s">
        <v>25</v>
      </c>
      <c r="F49" s="138"/>
      <c r="G49" s="9">
        <f>SUM(G42:G48)</f>
        <v>820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34" zoomScale="53" zoomScaleNormal="53" workbookViewId="0">
      <selection activeCell="M48" sqref="M48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7109375" bestFit="1" customWidth="1"/>
    <col min="17" max="17" width="10.5703125" customWidth="1"/>
    <col min="18" max="18" width="18.42578125" bestFit="1" customWidth="1"/>
    <col min="19" max="19" width="10.42578125" bestFit="1" customWidth="1"/>
    <col min="20" max="20" width="12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45133</v>
      </c>
      <c r="B4" s="7"/>
      <c r="C4" s="7" t="s">
        <v>14</v>
      </c>
      <c r="D4" s="7">
        <v>1025</v>
      </c>
      <c r="E4" s="7" t="s">
        <v>141</v>
      </c>
      <c r="F4" s="7">
        <f>SUM(G4:T4)</f>
        <v>70</v>
      </c>
      <c r="G4" s="7"/>
      <c r="H4" s="90">
        <v>70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45133</v>
      </c>
      <c r="B5" s="7"/>
      <c r="C5" s="7" t="s">
        <v>15</v>
      </c>
      <c r="D5" s="7">
        <v>2506</v>
      </c>
      <c r="E5" s="7" t="s">
        <v>264</v>
      </c>
      <c r="F5" s="7">
        <f t="shared" ref="F5:F38" si="0">SUM(G5:T5)</f>
        <v>15</v>
      </c>
      <c r="G5" s="7"/>
      <c r="H5" s="90">
        <v>15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25.5" customHeight="1" x14ac:dyDescent="0.25">
      <c r="A6" s="68">
        <v>45133</v>
      </c>
      <c r="B6" s="7"/>
      <c r="C6" s="7" t="s">
        <v>16</v>
      </c>
      <c r="D6" s="7">
        <v>0</v>
      </c>
      <c r="E6" s="7" t="s">
        <v>125</v>
      </c>
      <c r="F6" s="7">
        <f t="shared" si="0"/>
        <v>135</v>
      </c>
      <c r="G6" s="7"/>
      <c r="H6" s="90"/>
      <c r="I6" s="7"/>
      <c r="J6" s="7"/>
      <c r="K6" s="7"/>
      <c r="L6" s="7">
        <f>90+45</f>
        <v>135</v>
      </c>
      <c r="M6" s="7"/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45133</v>
      </c>
      <c r="B7" s="7"/>
      <c r="C7" s="7" t="s">
        <v>17</v>
      </c>
      <c r="D7" s="7">
        <v>235</v>
      </c>
      <c r="E7" s="7" t="s">
        <v>129</v>
      </c>
      <c r="F7" s="7">
        <f t="shared" si="0"/>
        <v>440</v>
      </c>
      <c r="G7" s="7"/>
      <c r="H7" s="90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>
        <f>200+240</f>
        <v>440</v>
      </c>
    </row>
    <row r="8" spans="1:20" ht="25.5" customHeight="1" x14ac:dyDescent="0.25">
      <c r="A8" s="68">
        <v>45133</v>
      </c>
      <c r="B8" s="7"/>
      <c r="C8" s="7" t="s">
        <v>18</v>
      </c>
      <c r="D8" s="7">
        <f>95+370+100+30+25+45+20</f>
        <v>685</v>
      </c>
      <c r="E8" s="7" t="s">
        <v>244</v>
      </c>
      <c r="F8" s="7">
        <f t="shared" si="0"/>
        <v>150</v>
      </c>
      <c r="G8" s="7"/>
      <c r="H8" s="90"/>
      <c r="I8" s="7"/>
      <c r="J8" s="7"/>
      <c r="K8" s="7"/>
      <c r="L8" s="7"/>
      <c r="M8" s="7"/>
      <c r="N8" s="7"/>
      <c r="O8" s="7"/>
      <c r="P8" s="7"/>
      <c r="Q8" s="7"/>
      <c r="R8" s="7">
        <f>50+100</f>
        <v>150</v>
      </c>
      <c r="S8" s="7"/>
      <c r="T8" s="7"/>
    </row>
    <row r="9" spans="1:20" ht="25.5" customHeight="1" x14ac:dyDescent="0.25">
      <c r="A9" s="68">
        <v>45133</v>
      </c>
      <c r="B9" s="7"/>
      <c r="C9" s="7" t="s">
        <v>30</v>
      </c>
      <c r="D9" s="7">
        <v>0</v>
      </c>
      <c r="E9" s="7" t="s">
        <v>181</v>
      </c>
      <c r="F9" s="7">
        <f t="shared" si="0"/>
        <v>30</v>
      </c>
      <c r="G9" s="7">
        <v>30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45133</v>
      </c>
      <c r="B10" s="7"/>
      <c r="C10" s="7" t="s">
        <v>46</v>
      </c>
      <c r="D10" s="7">
        <v>0</v>
      </c>
      <c r="E10" s="7" t="s">
        <v>265</v>
      </c>
      <c r="F10" s="7">
        <f t="shared" si="0"/>
        <v>8</v>
      </c>
      <c r="G10" s="7"/>
      <c r="H10" s="90"/>
      <c r="I10" s="7"/>
      <c r="J10" s="7"/>
      <c r="K10" s="7"/>
      <c r="L10" s="7"/>
      <c r="M10" s="7"/>
      <c r="N10" s="7"/>
      <c r="O10" s="7"/>
      <c r="P10" s="7">
        <v>8</v>
      </c>
      <c r="Q10" s="7"/>
      <c r="R10" s="7"/>
      <c r="S10" s="7"/>
      <c r="T10" s="7"/>
    </row>
    <row r="11" spans="1:20" ht="25.5" customHeight="1" x14ac:dyDescent="0.25">
      <c r="A11" s="68">
        <v>45133</v>
      </c>
      <c r="B11" s="7"/>
      <c r="C11" s="7"/>
      <c r="D11" s="7"/>
      <c r="E11" s="7" t="s">
        <v>91</v>
      </c>
      <c r="F11" s="7">
        <f t="shared" si="0"/>
        <v>200</v>
      </c>
      <c r="G11" s="7">
        <v>200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45133</v>
      </c>
      <c r="B12" s="7"/>
      <c r="C12" s="7"/>
      <c r="D12" s="7"/>
      <c r="E12" s="7" t="s">
        <v>90</v>
      </c>
      <c r="F12" s="7">
        <f t="shared" si="0"/>
        <v>50</v>
      </c>
      <c r="G12" s="7">
        <v>50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45133</v>
      </c>
      <c r="B13" s="7"/>
      <c r="C13" s="7"/>
      <c r="D13" s="7"/>
      <c r="E13" s="7" t="s">
        <v>103</v>
      </c>
      <c r="F13" s="7">
        <f t="shared" si="0"/>
        <v>160</v>
      </c>
      <c r="G13" s="7">
        <v>160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45133</v>
      </c>
      <c r="B14" s="7"/>
      <c r="C14" s="7"/>
      <c r="D14" s="7"/>
      <c r="E14" s="7" t="s">
        <v>86</v>
      </c>
      <c r="F14" s="7">
        <f t="shared" si="0"/>
        <v>170</v>
      </c>
      <c r="G14" s="7">
        <v>170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45133</v>
      </c>
      <c r="B15" s="7"/>
      <c r="C15" s="7"/>
      <c r="D15" s="7"/>
      <c r="E15" s="7" t="s">
        <v>87</v>
      </c>
      <c r="F15" s="7">
        <f t="shared" si="0"/>
        <v>150</v>
      </c>
      <c r="G15" s="7">
        <v>150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45133</v>
      </c>
      <c r="B16" s="7"/>
      <c r="C16" s="7"/>
      <c r="D16" s="7"/>
      <c r="E16" s="7" t="s">
        <v>92</v>
      </c>
      <c r="F16" s="7">
        <f t="shared" si="0"/>
        <v>100</v>
      </c>
      <c r="G16" s="7">
        <v>100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45133</v>
      </c>
      <c r="B17" s="7"/>
      <c r="C17" s="7"/>
      <c r="D17" s="7"/>
      <c r="E17" s="7" t="s">
        <v>94</v>
      </c>
      <c r="F17" s="7">
        <f t="shared" si="0"/>
        <v>30</v>
      </c>
      <c r="G17" s="7">
        <v>30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45133</v>
      </c>
      <c r="B18" s="7"/>
      <c r="C18" s="7"/>
      <c r="D18" s="7"/>
      <c r="E18" s="7" t="s">
        <v>98</v>
      </c>
      <c r="F18" s="7">
        <f t="shared" si="0"/>
        <v>120</v>
      </c>
      <c r="G18" s="7">
        <v>120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45133</v>
      </c>
      <c r="B19" s="7"/>
      <c r="C19" s="7"/>
      <c r="D19" s="7"/>
      <c r="E19" s="7" t="s">
        <v>266</v>
      </c>
      <c r="F19" s="7">
        <f t="shared" si="0"/>
        <v>20</v>
      </c>
      <c r="G19" s="7"/>
      <c r="H19" s="90"/>
      <c r="I19" s="7"/>
      <c r="J19" s="7"/>
      <c r="K19" s="7"/>
      <c r="L19" s="7"/>
      <c r="M19" s="7">
        <v>20</v>
      </c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45133</v>
      </c>
      <c r="B20" s="7"/>
      <c r="C20" s="7"/>
      <c r="D20" s="7"/>
      <c r="E20" s="7" t="s">
        <v>88</v>
      </c>
      <c r="F20" s="7">
        <f t="shared" si="0"/>
        <v>160</v>
      </c>
      <c r="G20" s="7">
        <v>160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45133</v>
      </c>
      <c r="B21" s="7"/>
      <c r="C21" s="7"/>
      <c r="D21" s="7"/>
      <c r="E21" s="7" t="s">
        <v>267</v>
      </c>
      <c r="F21" s="7">
        <f t="shared" si="0"/>
        <v>10</v>
      </c>
      <c r="G21" s="7"/>
      <c r="H21" s="90"/>
      <c r="I21" s="7"/>
      <c r="J21" s="7"/>
      <c r="K21" s="7"/>
      <c r="L21" s="7"/>
      <c r="M21" s="7"/>
      <c r="N21" s="7"/>
      <c r="O21" s="7"/>
      <c r="P21" s="7">
        <v>10</v>
      </c>
      <c r="Q21" s="7"/>
      <c r="R21" s="7"/>
      <c r="S21" s="7"/>
      <c r="T21" s="7"/>
    </row>
    <row r="22" spans="1:20" ht="25.5" customHeight="1" x14ac:dyDescent="0.25">
      <c r="A22" s="68"/>
      <c r="B22" s="7"/>
      <c r="C22" s="7"/>
      <c r="D22" s="7"/>
      <c r="E22" s="7" t="s">
        <v>93</v>
      </c>
      <c r="F22" s="7">
        <f t="shared" si="0"/>
        <v>50</v>
      </c>
      <c r="G22" s="7">
        <v>50</v>
      </c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/>
      <c r="B23" s="7"/>
      <c r="C23" s="7"/>
      <c r="D23" s="7"/>
      <c r="E23" s="7" t="s">
        <v>159</v>
      </c>
      <c r="F23" s="7">
        <f t="shared" si="0"/>
        <v>150</v>
      </c>
      <c r="G23" s="7">
        <v>150</v>
      </c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4451</v>
      </c>
      <c r="E39" s="119"/>
      <c r="F39" s="7">
        <f>SUM(F4:F38)</f>
        <v>2218</v>
      </c>
      <c r="G39" s="7">
        <f t="shared" ref="G39:T39" si="1">SUM(G4:G38)</f>
        <v>1370</v>
      </c>
      <c r="H39" s="90">
        <f t="shared" si="1"/>
        <v>85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135</v>
      </c>
      <c r="M39" s="7">
        <f t="shared" si="1"/>
        <v>20</v>
      </c>
      <c r="N39" s="7">
        <f t="shared" si="1"/>
        <v>0</v>
      </c>
      <c r="O39" s="7">
        <f t="shared" si="1"/>
        <v>0</v>
      </c>
      <c r="P39" s="7">
        <f t="shared" si="1"/>
        <v>18</v>
      </c>
      <c r="Q39" s="7">
        <f t="shared" si="1"/>
        <v>0</v>
      </c>
      <c r="R39" s="7">
        <f t="shared" si="1"/>
        <v>150</v>
      </c>
      <c r="S39" s="7">
        <f t="shared" si="1"/>
        <v>0</v>
      </c>
      <c r="T39" s="7">
        <f t="shared" si="1"/>
        <v>440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4451</v>
      </c>
      <c r="C42" s="8"/>
      <c r="E42" s="6">
        <v>200</v>
      </c>
      <c r="F42" s="7">
        <v>4</v>
      </c>
      <c r="G42" s="8">
        <f t="shared" ref="G42:G48" si="2">+E42*F42</f>
        <v>800</v>
      </c>
    </row>
    <row r="43" spans="1:20" ht="46.5" customHeight="1" x14ac:dyDescent="0.25">
      <c r="A43" s="10" t="s">
        <v>20</v>
      </c>
      <c r="B43" s="7">
        <f>D8</f>
        <v>685</v>
      </c>
      <c r="C43" s="8"/>
      <c r="E43" s="6">
        <v>100</v>
      </c>
      <c r="F43" s="7">
        <v>6</v>
      </c>
      <c r="G43" s="8">
        <f t="shared" si="2"/>
        <v>600</v>
      </c>
    </row>
    <row r="44" spans="1:20" ht="46.5" customHeight="1" x14ac:dyDescent="0.25">
      <c r="A44" s="10" t="s">
        <v>21</v>
      </c>
      <c r="B44" s="7">
        <f>F39</f>
        <v>2218</v>
      </c>
      <c r="C44" s="8"/>
      <c r="E44" s="6">
        <v>50</v>
      </c>
      <c r="F44" s="7"/>
      <c r="G44" s="8">
        <f t="shared" si="2"/>
        <v>0</v>
      </c>
    </row>
    <row r="45" spans="1:20" ht="51.75" customHeight="1" x14ac:dyDescent="0.25">
      <c r="A45" s="10" t="s">
        <v>22</v>
      </c>
      <c r="B45" s="12">
        <f>+B42-B43-B44</f>
        <v>1548</v>
      </c>
      <c r="C45" s="13"/>
      <c r="E45" s="6">
        <v>20</v>
      </c>
      <c r="F45" s="7"/>
      <c r="G45" s="8">
        <f t="shared" si="2"/>
        <v>0</v>
      </c>
    </row>
    <row r="46" spans="1:20" ht="46.5" customHeight="1" x14ac:dyDescent="0.25">
      <c r="A46" s="10" t="s">
        <v>23</v>
      </c>
      <c r="B46" s="12">
        <f>G49</f>
        <v>1548</v>
      </c>
      <c r="C46" s="13"/>
      <c r="D46" s="1"/>
      <c r="E46" s="6">
        <v>10</v>
      </c>
      <c r="F46" s="7">
        <v>1</v>
      </c>
      <c r="G46" s="8">
        <f t="shared" si="2"/>
        <v>10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27</v>
      </c>
      <c r="G47" s="8">
        <f t="shared" si="2"/>
        <v>135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3</v>
      </c>
      <c r="G48" s="8">
        <f t="shared" si="2"/>
        <v>3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1548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1" zoomScale="71" zoomScaleNormal="71" workbookViewId="0">
      <selection activeCell="K46" sqref="K46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45134</v>
      </c>
      <c r="B4" s="7"/>
      <c r="C4" s="7" t="s">
        <v>14</v>
      </c>
      <c r="D4" s="7">
        <v>1287</v>
      </c>
      <c r="E4" s="7" t="s">
        <v>141</v>
      </c>
      <c r="F4" s="7">
        <f>SUM(G4:T4)</f>
        <v>60</v>
      </c>
      <c r="G4" s="7"/>
      <c r="H4" s="90">
        <v>60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45134</v>
      </c>
      <c r="B5" s="7"/>
      <c r="C5" s="7" t="s">
        <v>15</v>
      </c>
      <c r="D5" s="7">
        <v>2912</v>
      </c>
      <c r="E5" s="7" t="s">
        <v>125</v>
      </c>
      <c r="F5" s="7">
        <f t="shared" ref="F5:F38" si="0">SUM(G5:T5)</f>
        <v>180</v>
      </c>
      <c r="G5" s="7"/>
      <c r="H5" s="90"/>
      <c r="I5" s="7"/>
      <c r="J5" s="7"/>
      <c r="K5" s="7"/>
      <c r="L5" s="7">
        <f>90+45+45</f>
        <v>180</v>
      </c>
      <c r="M5" s="7"/>
      <c r="N5" s="7"/>
      <c r="O5" s="7"/>
      <c r="P5" s="7"/>
      <c r="Q5" s="7"/>
      <c r="R5" s="7"/>
      <c r="S5" s="7"/>
      <c r="T5" s="7"/>
    </row>
    <row r="6" spans="1:20" ht="25.5" customHeight="1" x14ac:dyDescent="0.25">
      <c r="A6" s="68">
        <v>45134</v>
      </c>
      <c r="B6" s="7"/>
      <c r="C6" s="7" t="s">
        <v>16</v>
      </c>
      <c r="D6" s="7">
        <v>0</v>
      </c>
      <c r="E6" s="7" t="s">
        <v>91</v>
      </c>
      <c r="F6" s="7">
        <f t="shared" si="0"/>
        <v>200</v>
      </c>
      <c r="G6" s="7">
        <v>200</v>
      </c>
      <c r="H6" s="90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45134</v>
      </c>
      <c r="B7" s="7"/>
      <c r="C7" s="7" t="s">
        <v>17</v>
      </c>
      <c r="D7" s="7">
        <v>120</v>
      </c>
      <c r="E7" s="7" t="s">
        <v>92</v>
      </c>
      <c r="F7" s="7">
        <f t="shared" si="0"/>
        <v>100</v>
      </c>
      <c r="G7" s="7">
        <v>100</v>
      </c>
      <c r="H7" s="90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45134</v>
      </c>
      <c r="B8" s="7"/>
      <c r="C8" s="7" t="s">
        <v>18</v>
      </c>
      <c r="D8" s="7">
        <f>30+500+25+1050+840</f>
        <v>2445</v>
      </c>
      <c r="E8" s="7" t="s">
        <v>103</v>
      </c>
      <c r="F8" s="7">
        <f t="shared" si="0"/>
        <v>160</v>
      </c>
      <c r="G8" s="7">
        <v>160</v>
      </c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45134</v>
      </c>
      <c r="B9" s="7"/>
      <c r="C9" s="7" t="s">
        <v>30</v>
      </c>
      <c r="D9" s="7">
        <v>0</v>
      </c>
      <c r="E9" s="7" t="s">
        <v>90</v>
      </c>
      <c r="F9" s="7">
        <f t="shared" si="0"/>
        <v>50</v>
      </c>
      <c r="G9" s="7">
        <v>50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45134</v>
      </c>
      <c r="B10" s="7"/>
      <c r="C10" s="7" t="s">
        <v>46</v>
      </c>
      <c r="D10" s="7">
        <v>0</v>
      </c>
      <c r="E10" s="7" t="s">
        <v>88</v>
      </c>
      <c r="F10" s="7">
        <f t="shared" si="0"/>
        <v>160</v>
      </c>
      <c r="G10" s="7">
        <v>160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45134</v>
      </c>
      <c r="B11" s="7"/>
      <c r="C11" s="7"/>
      <c r="D11" s="7"/>
      <c r="E11" s="7" t="s">
        <v>86</v>
      </c>
      <c r="F11" s="7">
        <f t="shared" si="0"/>
        <v>170</v>
      </c>
      <c r="G11" s="7">
        <v>170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45134</v>
      </c>
      <c r="B12" s="7"/>
      <c r="C12" s="7"/>
      <c r="D12" s="7"/>
      <c r="E12" s="7" t="s">
        <v>269</v>
      </c>
      <c r="F12" s="7">
        <f t="shared" si="0"/>
        <v>15</v>
      </c>
      <c r="G12" s="7"/>
      <c r="H12" s="90"/>
      <c r="I12" s="7"/>
      <c r="J12" s="7"/>
      <c r="K12" s="7"/>
      <c r="L12" s="7"/>
      <c r="M12" s="7"/>
      <c r="N12" s="7"/>
      <c r="O12" s="7"/>
      <c r="P12" s="7">
        <v>15</v>
      </c>
      <c r="Q12" s="7"/>
      <c r="R12" s="7"/>
      <c r="S12" s="7"/>
      <c r="T12" s="7"/>
    </row>
    <row r="13" spans="1:20" ht="25.5" customHeight="1" x14ac:dyDescent="0.25">
      <c r="A13" s="68">
        <v>45134</v>
      </c>
      <c r="B13" s="7"/>
      <c r="C13" s="7"/>
      <c r="D13" s="7"/>
      <c r="E13" s="7" t="s">
        <v>129</v>
      </c>
      <c r="F13" s="7">
        <f t="shared" si="0"/>
        <v>300</v>
      </c>
      <c r="G13" s="7"/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>
        <v>300</v>
      </c>
    </row>
    <row r="14" spans="1:20" ht="25.5" customHeight="1" x14ac:dyDescent="0.25">
      <c r="A14" s="68">
        <v>45134</v>
      </c>
      <c r="B14" s="7"/>
      <c r="C14" s="7"/>
      <c r="D14" s="7"/>
      <c r="E14" s="7" t="s">
        <v>98</v>
      </c>
      <c r="F14" s="7">
        <f t="shared" si="0"/>
        <v>120</v>
      </c>
      <c r="G14" s="7">
        <v>120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45134</v>
      </c>
      <c r="B15" s="7"/>
      <c r="C15" s="7"/>
      <c r="D15" s="7"/>
      <c r="E15" s="7" t="s">
        <v>93</v>
      </c>
      <c r="F15" s="7">
        <f t="shared" si="0"/>
        <v>50</v>
      </c>
      <c r="G15" s="7">
        <v>50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45134</v>
      </c>
      <c r="B16" s="7"/>
      <c r="C16" s="7"/>
      <c r="D16" s="7"/>
      <c r="E16" s="7" t="s">
        <v>99</v>
      </c>
      <c r="F16" s="7">
        <f t="shared" si="0"/>
        <v>150</v>
      </c>
      <c r="G16" s="7">
        <v>150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45134</v>
      </c>
      <c r="B17" s="7"/>
      <c r="C17" s="7"/>
      <c r="D17" s="7"/>
      <c r="E17" s="7" t="s">
        <v>107</v>
      </c>
      <c r="F17" s="7">
        <f t="shared" si="0"/>
        <v>30</v>
      </c>
      <c r="G17" s="7">
        <v>30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45134</v>
      </c>
      <c r="B18" s="7"/>
      <c r="C18" s="7"/>
      <c r="D18" s="7"/>
      <c r="E18" s="7" t="s">
        <v>87</v>
      </c>
      <c r="F18" s="7">
        <f t="shared" si="0"/>
        <v>150</v>
      </c>
      <c r="G18" s="7">
        <v>150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45134</v>
      </c>
      <c r="B19" s="7"/>
      <c r="C19" s="7"/>
      <c r="D19" s="7"/>
      <c r="E19" s="7" t="s">
        <v>96</v>
      </c>
      <c r="F19" s="7">
        <f t="shared" si="0"/>
        <v>170</v>
      </c>
      <c r="G19" s="7">
        <v>170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45134</v>
      </c>
      <c r="B20" s="7"/>
      <c r="C20" s="7"/>
      <c r="D20" s="7"/>
      <c r="E20" s="7"/>
      <c r="F20" s="7">
        <f t="shared" si="0"/>
        <v>0</v>
      </c>
      <c r="G20" s="7"/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/>
      <c r="B21" s="7"/>
      <c r="C21" s="7"/>
      <c r="D21" s="7"/>
      <c r="E21" s="7"/>
      <c r="F21" s="7">
        <f t="shared" si="0"/>
        <v>0</v>
      </c>
      <c r="G21" s="7"/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/>
      <c r="B22" s="7"/>
      <c r="C22" s="7"/>
      <c r="D22" s="7"/>
      <c r="E22" s="7"/>
      <c r="F22" s="7">
        <f t="shared" si="0"/>
        <v>0</v>
      </c>
      <c r="G22" s="7"/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/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6764</v>
      </c>
      <c r="E39" s="119"/>
      <c r="F39" s="7">
        <f>SUM(F4:F38)</f>
        <v>2065</v>
      </c>
      <c r="G39" s="7">
        <f t="shared" ref="G39:T39" si="1">SUM(G4:G38)</f>
        <v>1510</v>
      </c>
      <c r="H39" s="90">
        <f t="shared" si="1"/>
        <v>60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180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15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300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6764</v>
      </c>
      <c r="C42" s="8"/>
      <c r="E42" s="6">
        <v>200</v>
      </c>
      <c r="F42" s="7">
        <v>6</v>
      </c>
      <c r="G42" s="8">
        <f t="shared" ref="G42:G48" si="2">+E42*F42</f>
        <v>1200</v>
      </c>
    </row>
    <row r="43" spans="1:20" ht="46.5" customHeight="1" x14ac:dyDescent="0.25">
      <c r="A43" s="10" t="s">
        <v>20</v>
      </c>
      <c r="B43" s="7">
        <f>D8</f>
        <v>2445</v>
      </c>
      <c r="C43" s="8"/>
      <c r="E43" s="6">
        <v>100</v>
      </c>
      <c r="F43" s="7">
        <v>2</v>
      </c>
      <c r="G43" s="8">
        <f t="shared" si="2"/>
        <v>200</v>
      </c>
    </row>
    <row r="44" spans="1:20" ht="46.5" customHeight="1" x14ac:dyDescent="0.25">
      <c r="A44" s="10" t="s">
        <v>21</v>
      </c>
      <c r="B44" s="7">
        <f>F39</f>
        <v>2065</v>
      </c>
      <c r="C44" s="8"/>
      <c r="E44" s="6">
        <v>50</v>
      </c>
      <c r="F44" s="7">
        <v>5</v>
      </c>
      <c r="G44" s="8">
        <f t="shared" si="2"/>
        <v>250</v>
      </c>
    </row>
    <row r="45" spans="1:20" ht="51.75" customHeight="1" x14ac:dyDescent="0.25">
      <c r="A45" s="10" t="s">
        <v>22</v>
      </c>
      <c r="B45" s="12">
        <f>+B42-B43-B44</f>
        <v>2254</v>
      </c>
      <c r="C45" s="13"/>
      <c r="E45" s="6">
        <v>20</v>
      </c>
      <c r="F45" s="7">
        <v>18</v>
      </c>
      <c r="G45" s="8">
        <f t="shared" si="2"/>
        <v>360</v>
      </c>
    </row>
    <row r="46" spans="1:20" ht="46.5" customHeight="1" x14ac:dyDescent="0.25">
      <c r="A46" s="10" t="s">
        <v>23</v>
      </c>
      <c r="B46" s="12">
        <f>G49</f>
        <v>2254</v>
      </c>
      <c r="C46" s="13"/>
      <c r="D46" s="1"/>
      <c r="E46" s="6">
        <v>10</v>
      </c>
      <c r="F46" s="7">
        <v>12</v>
      </c>
      <c r="G46" s="8">
        <f t="shared" si="2"/>
        <v>120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24</v>
      </c>
      <c r="G47" s="8">
        <f t="shared" si="2"/>
        <v>120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4</v>
      </c>
      <c r="G48" s="8">
        <f t="shared" si="2"/>
        <v>4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2254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0" zoomScale="71" zoomScaleNormal="71" workbookViewId="0">
      <selection activeCell="I46" sqref="I46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45135</v>
      </c>
      <c r="B4" s="7"/>
      <c r="C4" s="7" t="s">
        <v>14</v>
      </c>
      <c r="D4" s="7">
        <v>709</v>
      </c>
      <c r="E4" s="7" t="s">
        <v>244</v>
      </c>
      <c r="F4" s="7">
        <f>SUM(G4:T4)</f>
        <v>100</v>
      </c>
      <c r="G4" s="7"/>
      <c r="H4" s="90"/>
      <c r="I4" s="7"/>
      <c r="J4" s="7"/>
      <c r="K4" s="7"/>
      <c r="L4" s="7"/>
      <c r="M4" s="7"/>
      <c r="N4" s="7"/>
      <c r="O4" s="7"/>
      <c r="P4" s="7"/>
      <c r="Q4" s="7"/>
      <c r="R4" s="7">
        <v>100</v>
      </c>
      <c r="S4" s="7"/>
      <c r="T4" s="7"/>
    </row>
    <row r="5" spans="1:20" ht="25.5" customHeight="1" x14ac:dyDescent="0.25">
      <c r="A5" s="68">
        <v>45135</v>
      </c>
      <c r="B5" s="7"/>
      <c r="C5" s="7" t="s">
        <v>15</v>
      </c>
      <c r="D5" s="7">
        <v>1760</v>
      </c>
      <c r="E5" s="7" t="s">
        <v>88</v>
      </c>
      <c r="F5" s="7">
        <f t="shared" ref="F5:F38" si="0">SUM(G5:T5)</f>
        <v>160</v>
      </c>
      <c r="G5" s="7">
        <v>160</v>
      </c>
      <c r="H5" s="9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25.5" customHeight="1" x14ac:dyDescent="0.25">
      <c r="A6" s="68">
        <v>45135</v>
      </c>
      <c r="B6" s="7"/>
      <c r="C6" s="7" t="s">
        <v>16</v>
      </c>
      <c r="D6" s="7">
        <v>0</v>
      </c>
      <c r="E6" s="7" t="s">
        <v>86</v>
      </c>
      <c r="F6" s="7">
        <f t="shared" si="0"/>
        <v>170</v>
      </c>
      <c r="G6" s="7">
        <v>170</v>
      </c>
      <c r="H6" s="90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45135</v>
      </c>
      <c r="B7" s="7"/>
      <c r="C7" s="7" t="s">
        <v>17</v>
      </c>
      <c r="D7" s="7">
        <v>35</v>
      </c>
      <c r="E7" s="7" t="s">
        <v>90</v>
      </c>
      <c r="F7" s="7">
        <f t="shared" si="0"/>
        <v>50</v>
      </c>
      <c r="G7" s="7">
        <v>50</v>
      </c>
      <c r="H7" s="90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45135</v>
      </c>
      <c r="B8" s="7"/>
      <c r="C8" s="7" t="s">
        <v>18</v>
      </c>
      <c r="D8" s="7">
        <f>1500+60+25</f>
        <v>1585</v>
      </c>
      <c r="E8" s="7" t="s">
        <v>87</v>
      </c>
      <c r="F8" s="7">
        <f t="shared" si="0"/>
        <v>150</v>
      </c>
      <c r="G8" s="7">
        <v>150</v>
      </c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45135</v>
      </c>
      <c r="B9" s="7"/>
      <c r="C9" s="7" t="s">
        <v>30</v>
      </c>
      <c r="D9" s="7">
        <v>0</v>
      </c>
      <c r="E9" s="7" t="s">
        <v>92</v>
      </c>
      <c r="F9" s="7">
        <f t="shared" si="0"/>
        <v>100</v>
      </c>
      <c r="G9" s="7">
        <v>100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45135</v>
      </c>
      <c r="B10" s="7"/>
      <c r="C10" s="7" t="s">
        <v>46</v>
      </c>
      <c r="D10" s="7">
        <v>0</v>
      </c>
      <c r="E10" s="7" t="s">
        <v>103</v>
      </c>
      <c r="F10" s="7">
        <f t="shared" si="0"/>
        <v>160</v>
      </c>
      <c r="G10" s="7">
        <v>160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45135</v>
      </c>
      <c r="B11" s="7"/>
      <c r="C11" s="7"/>
      <c r="D11" s="7"/>
      <c r="E11" s="7" t="s">
        <v>91</v>
      </c>
      <c r="F11" s="7">
        <f t="shared" si="0"/>
        <v>200</v>
      </c>
      <c r="G11" s="7">
        <v>200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45135</v>
      </c>
      <c r="B12" s="7"/>
      <c r="C12" s="7"/>
      <c r="D12" s="7"/>
      <c r="E12" s="7" t="s">
        <v>270</v>
      </c>
      <c r="F12" s="7">
        <f t="shared" si="0"/>
        <v>105</v>
      </c>
      <c r="G12" s="7"/>
      <c r="H12" s="90"/>
      <c r="I12" s="7"/>
      <c r="J12" s="7"/>
      <c r="K12" s="7"/>
      <c r="L12" s="7"/>
      <c r="M12" s="7"/>
      <c r="N12" s="7">
        <v>105</v>
      </c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45135</v>
      </c>
      <c r="B13" s="7"/>
      <c r="C13" s="7"/>
      <c r="D13" s="7"/>
      <c r="E13" s="7" t="s">
        <v>125</v>
      </c>
      <c r="F13" s="7">
        <f t="shared" si="0"/>
        <v>90</v>
      </c>
      <c r="G13" s="7"/>
      <c r="H13" s="90"/>
      <c r="I13" s="7"/>
      <c r="J13" s="7"/>
      <c r="K13" s="7"/>
      <c r="L13" s="7">
        <v>90</v>
      </c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45135</v>
      </c>
      <c r="B14" s="7"/>
      <c r="C14" s="7"/>
      <c r="D14" s="7"/>
      <c r="E14" s="7" t="s">
        <v>107</v>
      </c>
      <c r="F14" s="7">
        <f t="shared" si="0"/>
        <v>30</v>
      </c>
      <c r="G14" s="7">
        <v>30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45135</v>
      </c>
      <c r="B15" s="7"/>
      <c r="C15" s="7"/>
      <c r="D15" s="7"/>
      <c r="E15" s="7" t="s">
        <v>96</v>
      </c>
      <c r="F15" s="7">
        <f t="shared" si="0"/>
        <v>170</v>
      </c>
      <c r="G15" s="7">
        <v>170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45135</v>
      </c>
      <c r="B16" s="7"/>
      <c r="C16" s="7"/>
      <c r="D16" s="7"/>
      <c r="E16" s="7" t="s">
        <v>159</v>
      </c>
      <c r="F16" s="7">
        <f t="shared" si="0"/>
        <v>150</v>
      </c>
      <c r="G16" s="7">
        <v>150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45135</v>
      </c>
      <c r="B17" s="7"/>
      <c r="C17" s="7"/>
      <c r="D17" s="7"/>
      <c r="E17" s="7" t="s">
        <v>271</v>
      </c>
      <c r="F17" s="7">
        <f t="shared" si="0"/>
        <v>50</v>
      </c>
      <c r="G17" s="7">
        <v>50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45135</v>
      </c>
      <c r="B18" s="7"/>
      <c r="C18" s="7"/>
      <c r="D18" s="7"/>
      <c r="E18" s="7" t="s">
        <v>98</v>
      </c>
      <c r="F18" s="7">
        <f t="shared" si="0"/>
        <v>120</v>
      </c>
      <c r="G18" s="7">
        <v>120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45135</v>
      </c>
      <c r="B19" s="7"/>
      <c r="C19" s="7"/>
      <c r="D19" s="7"/>
      <c r="E19" s="7"/>
      <c r="F19" s="7">
        <f t="shared" si="0"/>
        <v>0</v>
      </c>
      <c r="G19" s="7"/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45135</v>
      </c>
      <c r="B20" s="7"/>
      <c r="C20" s="7"/>
      <c r="D20" s="7"/>
      <c r="E20" s="7"/>
      <c r="F20" s="7">
        <f t="shared" si="0"/>
        <v>0</v>
      </c>
      <c r="G20" s="7"/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45135</v>
      </c>
      <c r="B21" s="7"/>
      <c r="C21" s="7"/>
      <c r="D21" s="7"/>
      <c r="E21" s="7"/>
      <c r="F21" s="7">
        <f t="shared" si="0"/>
        <v>0</v>
      </c>
      <c r="G21" s="7"/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45135</v>
      </c>
      <c r="B22" s="7"/>
      <c r="C22" s="7"/>
      <c r="D22" s="7"/>
      <c r="E22" s="7"/>
      <c r="F22" s="7">
        <f t="shared" si="0"/>
        <v>0</v>
      </c>
      <c r="G22" s="7"/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45135</v>
      </c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>
        <v>45135</v>
      </c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4089</v>
      </c>
      <c r="E39" s="119"/>
      <c r="F39" s="7">
        <f>SUM(F4:F38)</f>
        <v>1805</v>
      </c>
      <c r="G39" s="7">
        <f t="shared" ref="G39:T39" si="1">SUM(G4:G38)</f>
        <v>1510</v>
      </c>
      <c r="H39" s="90">
        <f t="shared" si="1"/>
        <v>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90</v>
      </c>
      <c r="M39" s="7">
        <f t="shared" si="1"/>
        <v>0</v>
      </c>
      <c r="N39" s="7">
        <f t="shared" si="1"/>
        <v>105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100</v>
      </c>
      <c r="S39" s="7">
        <f t="shared" si="1"/>
        <v>0</v>
      </c>
      <c r="T39" s="7">
        <f t="shared" si="1"/>
        <v>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4089</v>
      </c>
      <c r="C42" s="8"/>
      <c r="E42" s="6">
        <v>200</v>
      </c>
      <c r="F42" s="7">
        <v>1</v>
      </c>
      <c r="G42" s="8">
        <f t="shared" ref="G42:G48" si="2">+E42*F42</f>
        <v>200</v>
      </c>
    </row>
    <row r="43" spans="1:20" ht="46.5" customHeight="1" x14ac:dyDescent="0.25">
      <c r="A43" s="10" t="s">
        <v>20</v>
      </c>
      <c r="B43" s="7">
        <f>D8</f>
        <v>1585</v>
      </c>
      <c r="C43" s="8"/>
      <c r="E43" s="6">
        <v>100</v>
      </c>
      <c r="F43" s="7">
        <v>4</v>
      </c>
      <c r="G43" s="8">
        <f t="shared" si="2"/>
        <v>400</v>
      </c>
    </row>
    <row r="44" spans="1:20" ht="46.5" customHeight="1" x14ac:dyDescent="0.25">
      <c r="A44" s="10" t="s">
        <v>21</v>
      </c>
      <c r="B44" s="7">
        <f>F39</f>
        <v>1805</v>
      </c>
      <c r="C44" s="8"/>
      <c r="E44" s="6">
        <v>50</v>
      </c>
      <c r="F44" s="7">
        <v>1</v>
      </c>
      <c r="G44" s="8">
        <f t="shared" si="2"/>
        <v>50</v>
      </c>
    </row>
    <row r="45" spans="1:20" ht="51.75" customHeight="1" x14ac:dyDescent="0.25">
      <c r="A45" s="10" t="s">
        <v>22</v>
      </c>
      <c r="B45" s="12">
        <f>+B42-B43-B44</f>
        <v>699</v>
      </c>
      <c r="C45" s="13"/>
      <c r="E45" s="6">
        <v>20</v>
      </c>
      <c r="F45" s="7">
        <v>2</v>
      </c>
      <c r="G45" s="8">
        <f t="shared" si="2"/>
        <v>40</v>
      </c>
    </row>
    <row r="46" spans="1:20" ht="46.5" customHeight="1" x14ac:dyDescent="0.25">
      <c r="A46" s="10" t="s">
        <v>23</v>
      </c>
      <c r="B46" s="12">
        <f>G49</f>
        <v>700</v>
      </c>
      <c r="C46" s="13"/>
      <c r="D46" s="1"/>
      <c r="E46" s="6">
        <v>10</v>
      </c>
      <c r="F46" s="7">
        <v>1</v>
      </c>
      <c r="G46" s="8">
        <f t="shared" si="2"/>
        <v>10</v>
      </c>
    </row>
    <row r="47" spans="1:20" ht="34.5" customHeight="1" x14ac:dyDescent="0.25">
      <c r="A47" s="10" t="s">
        <v>24</v>
      </c>
      <c r="B47" s="12">
        <f>IF(B45&lt;B46,B46-B45,0)</f>
        <v>1</v>
      </c>
      <c r="C47" s="13"/>
      <c r="E47" s="6">
        <v>5</v>
      </c>
      <c r="F47" s="7"/>
      <c r="G47" s="8">
        <f t="shared" si="2"/>
        <v>0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59"/>
      <c r="E48" s="6">
        <v>1</v>
      </c>
      <c r="F48" s="7"/>
      <c r="G48" s="8">
        <f t="shared" si="2"/>
        <v>0</v>
      </c>
    </row>
    <row r="49" spans="1:7" ht="30" customHeight="1" thickBot="1" x14ac:dyDescent="0.35">
      <c r="A49" s="11" t="s">
        <v>29</v>
      </c>
      <c r="B49" s="14" t="b">
        <f>B45=B46</f>
        <v>0</v>
      </c>
      <c r="C49" s="15"/>
      <c r="E49" s="137" t="s">
        <v>25</v>
      </c>
      <c r="F49" s="138"/>
      <c r="G49" s="9">
        <f>SUM(G42:G48)</f>
        <v>700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4" zoomScale="70" zoomScaleNormal="70" workbookViewId="0">
      <selection activeCell="J43" sqref="J43"/>
    </sheetView>
  </sheetViews>
  <sheetFormatPr defaultRowHeight="15" x14ac:dyDescent="0.25"/>
  <cols>
    <col min="1" max="1" width="22.855468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45109</v>
      </c>
      <c r="B4" s="7"/>
      <c r="C4" s="7" t="s">
        <v>14</v>
      </c>
      <c r="D4" s="7">
        <v>532</v>
      </c>
      <c r="E4" s="7" t="s">
        <v>101</v>
      </c>
      <c r="F4" s="7">
        <f>SUM(G4:T4)</f>
        <v>55</v>
      </c>
      <c r="G4" s="7"/>
      <c r="H4" s="90">
        <v>55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45109</v>
      </c>
      <c r="B5" s="7"/>
      <c r="C5" s="7" t="s">
        <v>15</v>
      </c>
      <c r="D5" s="7">
        <v>2105</v>
      </c>
      <c r="E5" s="7" t="s">
        <v>12</v>
      </c>
      <c r="F5" s="7">
        <f t="shared" ref="F5:F38" si="0">SUM(G5:T5)</f>
        <v>90</v>
      </c>
      <c r="G5" s="7"/>
      <c r="H5" s="90"/>
      <c r="I5" s="7"/>
      <c r="J5" s="7"/>
      <c r="K5" s="7"/>
      <c r="L5" s="7">
        <v>90</v>
      </c>
      <c r="M5" s="7"/>
      <c r="N5" s="7"/>
      <c r="O5" s="7"/>
      <c r="P5" s="7"/>
      <c r="Q5" s="7"/>
      <c r="R5" s="7"/>
      <c r="S5" s="7"/>
      <c r="T5" s="7"/>
    </row>
    <row r="6" spans="1:20" ht="25.5" customHeight="1" x14ac:dyDescent="0.25">
      <c r="A6" s="68">
        <v>45109</v>
      </c>
      <c r="B6" s="7"/>
      <c r="C6" s="7" t="s">
        <v>16</v>
      </c>
      <c r="D6" s="7">
        <v>0</v>
      </c>
      <c r="E6" s="7" t="s">
        <v>95</v>
      </c>
      <c r="F6" s="7">
        <f t="shared" si="0"/>
        <v>100</v>
      </c>
      <c r="G6" s="7">
        <v>100</v>
      </c>
      <c r="H6" s="90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45109</v>
      </c>
      <c r="B7" s="7"/>
      <c r="C7" s="7" t="s">
        <v>17</v>
      </c>
      <c r="D7" s="7">
        <v>0</v>
      </c>
      <c r="E7" s="7" t="s">
        <v>90</v>
      </c>
      <c r="F7" s="7">
        <f t="shared" si="0"/>
        <v>50</v>
      </c>
      <c r="G7" s="7">
        <v>50</v>
      </c>
      <c r="H7" s="90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45109</v>
      </c>
      <c r="B8" s="7"/>
      <c r="C8" s="7" t="s">
        <v>18</v>
      </c>
      <c r="D8" s="7">
        <f>55+350+20+20</f>
        <v>445</v>
      </c>
      <c r="E8" s="7" t="s">
        <v>88</v>
      </c>
      <c r="F8" s="7">
        <f t="shared" si="0"/>
        <v>160</v>
      </c>
      <c r="G8" s="7">
        <v>160</v>
      </c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45109</v>
      </c>
      <c r="B9" s="7"/>
      <c r="C9" s="7" t="s">
        <v>30</v>
      </c>
      <c r="D9" s="7">
        <v>0</v>
      </c>
      <c r="E9" s="7" t="s">
        <v>89</v>
      </c>
      <c r="F9" s="7">
        <f t="shared" si="0"/>
        <v>150</v>
      </c>
      <c r="G9" s="7">
        <v>150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45109</v>
      </c>
      <c r="B10" s="7"/>
      <c r="C10" s="7" t="s">
        <v>46</v>
      </c>
      <c r="D10" s="7">
        <v>0</v>
      </c>
      <c r="E10" s="7" t="s">
        <v>102</v>
      </c>
      <c r="F10" s="7">
        <f t="shared" si="0"/>
        <v>85</v>
      </c>
      <c r="G10" s="7">
        <v>85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45109</v>
      </c>
      <c r="B11" s="7"/>
      <c r="C11" s="7"/>
      <c r="D11" s="7"/>
      <c r="E11" s="7" t="s">
        <v>87</v>
      </c>
      <c r="F11" s="7">
        <f t="shared" si="0"/>
        <v>150</v>
      </c>
      <c r="G11" s="7">
        <v>150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45109</v>
      </c>
      <c r="B12" s="7"/>
      <c r="C12" s="7"/>
      <c r="D12" s="7"/>
      <c r="E12" s="7" t="s">
        <v>103</v>
      </c>
      <c r="F12" s="7">
        <f t="shared" si="0"/>
        <v>160</v>
      </c>
      <c r="G12" s="7">
        <v>160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45109</v>
      </c>
      <c r="B13" s="7"/>
      <c r="C13" s="7"/>
      <c r="D13" s="7"/>
      <c r="E13" s="7" t="s">
        <v>91</v>
      </c>
      <c r="F13" s="7">
        <f t="shared" si="0"/>
        <v>200</v>
      </c>
      <c r="G13" s="7">
        <v>200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45109</v>
      </c>
      <c r="B14" s="7"/>
      <c r="C14" s="7"/>
      <c r="D14" s="7"/>
      <c r="E14" s="7" t="s">
        <v>104</v>
      </c>
      <c r="F14" s="7">
        <f t="shared" si="0"/>
        <v>50</v>
      </c>
      <c r="G14" s="7">
        <v>50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45109</v>
      </c>
      <c r="B15" s="7"/>
      <c r="C15" s="7"/>
      <c r="D15" s="7"/>
      <c r="E15" s="7" t="s">
        <v>105</v>
      </c>
      <c r="F15" s="7">
        <f t="shared" si="0"/>
        <v>170</v>
      </c>
      <c r="G15" s="7">
        <v>170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45109</v>
      </c>
      <c r="B16" s="7"/>
      <c r="C16" s="7"/>
      <c r="D16" s="7"/>
      <c r="E16" s="7" t="s">
        <v>99</v>
      </c>
      <c r="F16" s="7">
        <f t="shared" si="0"/>
        <v>150</v>
      </c>
      <c r="G16" s="7">
        <v>150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45109</v>
      </c>
      <c r="B17" s="7"/>
      <c r="C17" s="7"/>
      <c r="D17" s="7"/>
      <c r="E17" s="7" t="s">
        <v>98</v>
      </c>
      <c r="F17" s="7">
        <f t="shared" si="0"/>
        <v>120</v>
      </c>
      <c r="G17" s="7">
        <v>120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45109</v>
      </c>
      <c r="B18" s="7"/>
      <c r="C18" s="7"/>
      <c r="D18" s="7"/>
      <c r="E18" s="7" t="s">
        <v>106</v>
      </c>
      <c r="F18" s="7">
        <f t="shared" si="0"/>
        <v>50</v>
      </c>
      <c r="G18" s="7">
        <v>50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45109</v>
      </c>
      <c r="B19" s="7"/>
      <c r="C19" s="7"/>
      <c r="D19" s="7"/>
      <c r="E19" s="7" t="s">
        <v>92</v>
      </c>
      <c r="F19" s="7">
        <f t="shared" si="0"/>
        <v>100</v>
      </c>
      <c r="G19" s="7">
        <v>100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45109</v>
      </c>
      <c r="B20" s="7"/>
      <c r="C20" s="7"/>
      <c r="D20" s="7"/>
      <c r="E20" s="7" t="s">
        <v>107</v>
      </c>
      <c r="F20" s="7">
        <f t="shared" si="0"/>
        <v>30</v>
      </c>
      <c r="G20" s="7">
        <v>30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45109</v>
      </c>
      <c r="B21" s="7"/>
      <c r="C21" s="7"/>
      <c r="D21" s="7"/>
      <c r="E21" s="7" t="s">
        <v>108</v>
      </c>
      <c r="F21" s="7">
        <f t="shared" si="0"/>
        <v>100</v>
      </c>
      <c r="G21" s="7">
        <v>100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45109</v>
      </c>
      <c r="B22" s="7"/>
      <c r="C22" s="7"/>
      <c r="D22" s="7"/>
      <c r="E22" s="7"/>
      <c r="F22" s="7">
        <f t="shared" si="0"/>
        <v>0</v>
      </c>
      <c r="G22" s="7"/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45109</v>
      </c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>
        <v>45109</v>
      </c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>
        <v>45109</v>
      </c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>
        <v>45109</v>
      </c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>
        <v>45109</v>
      </c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>
        <v>45109</v>
      </c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>
        <v>45109</v>
      </c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>
        <v>45109</v>
      </c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>
        <v>45109</v>
      </c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>
        <v>45109</v>
      </c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>
        <v>45109</v>
      </c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>
        <v>45109</v>
      </c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>
        <v>45109</v>
      </c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>
        <v>45109</v>
      </c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>
        <v>45109</v>
      </c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>
        <v>45109</v>
      </c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3082</v>
      </c>
      <c r="E39" s="119"/>
      <c r="F39" s="7">
        <f>SUM(F4:F38)</f>
        <v>1970</v>
      </c>
      <c r="G39" s="7">
        <f t="shared" ref="G39:T39" si="1">SUM(G4:G38)</f>
        <v>1825</v>
      </c>
      <c r="H39" s="90">
        <f t="shared" si="1"/>
        <v>55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90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3082</v>
      </c>
      <c r="C42" s="8"/>
      <c r="E42" s="6">
        <v>200</v>
      </c>
      <c r="F42" s="7">
        <v>3</v>
      </c>
      <c r="G42" s="8">
        <f t="shared" ref="G42:G48" si="2">+E42*F42</f>
        <v>600</v>
      </c>
    </row>
    <row r="43" spans="1:20" ht="46.5" customHeight="1" x14ac:dyDescent="0.25">
      <c r="A43" s="10" t="s">
        <v>20</v>
      </c>
      <c r="B43" s="7">
        <f>D8</f>
        <v>445</v>
      </c>
      <c r="C43" s="8"/>
      <c r="E43" s="6">
        <v>100</v>
      </c>
      <c r="F43" s="7"/>
      <c r="G43" s="8">
        <f t="shared" si="2"/>
        <v>0</v>
      </c>
    </row>
    <row r="44" spans="1:20" ht="46.5" customHeight="1" x14ac:dyDescent="0.25">
      <c r="A44" s="10" t="s">
        <v>21</v>
      </c>
      <c r="B44" s="7">
        <f>F39</f>
        <v>1970</v>
      </c>
      <c r="C44" s="8"/>
      <c r="E44" s="6">
        <v>50</v>
      </c>
      <c r="F44" s="7">
        <v>1</v>
      </c>
      <c r="G44" s="8">
        <f t="shared" si="2"/>
        <v>50</v>
      </c>
    </row>
    <row r="45" spans="1:20" ht="51.75" customHeight="1" x14ac:dyDescent="0.25">
      <c r="A45" s="10" t="s">
        <v>22</v>
      </c>
      <c r="B45" s="12">
        <f>+B42-B43-B44</f>
        <v>667</v>
      </c>
      <c r="C45" s="13"/>
      <c r="E45" s="6">
        <v>20</v>
      </c>
      <c r="F45" s="7"/>
      <c r="G45" s="8">
        <f t="shared" si="2"/>
        <v>0</v>
      </c>
    </row>
    <row r="46" spans="1:20" ht="46.5" customHeight="1" x14ac:dyDescent="0.25">
      <c r="A46" s="10" t="s">
        <v>23</v>
      </c>
      <c r="B46" s="12">
        <f>G49</f>
        <v>667</v>
      </c>
      <c r="C46" s="13"/>
      <c r="D46" s="1"/>
      <c r="E46" s="6">
        <v>10</v>
      </c>
      <c r="F46" s="7">
        <v>1</v>
      </c>
      <c r="G46" s="8">
        <f t="shared" si="2"/>
        <v>10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1</v>
      </c>
      <c r="G47" s="8">
        <f t="shared" si="2"/>
        <v>5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2</v>
      </c>
      <c r="G48" s="8">
        <f t="shared" si="2"/>
        <v>2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667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39" zoomScale="70" zoomScaleNormal="70" workbookViewId="0">
      <selection activeCell="H52" sqref="H52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45136</v>
      </c>
      <c r="B4" s="7"/>
      <c r="C4" s="7" t="s">
        <v>14</v>
      </c>
      <c r="D4" s="7">
        <v>588</v>
      </c>
      <c r="E4" s="7" t="s">
        <v>12</v>
      </c>
      <c r="F4" s="7">
        <f>SUM(G4:T4)</f>
        <v>180</v>
      </c>
      <c r="G4" s="7"/>
      <c r="H4" s="90"/>
      <c r="I4" s="7"/>
      <c r="J4" s="7"/>
      <c r="K4" s="7"/>
      <c r="L4" s="7">
        <v>180</v>
      </c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45136</v>
      </c>
      <c r="B5" s="7"/>
      <c r="C5" s="7" t="s">
        <v>15</v>
      </c>
      <c r="D5" s="7">
        <v>2225</v>
      </c>
      <c r="E5" s="7" t="s">
        <v>272</v>
      </c>
      <c r="F5" s="7">
        <f t="shared" ref="F5:F38" si="0">SUM(G5:T5)</f>
        <v>85</v>
      </c>
      <c r="G5" s="7"/>
      <c r="H5" s="90">
        <v>85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25.5" customHeight="1" x14ac:dyDescent="0.25">
      <c r="A6" s="68">
        <v>45136</v>
      </c>
      <c r="B6" s="7"/>
      <c r="C6" s="7" t="s">
        <v>16</v>
      </c>
      <c r="D6" s="7">
        <v>0</v>
      </c>
      <c r="E6" s="7" t="s">
        <v>266</v>
      </c>
      <c r="F6" s="7">
        <f t="shared" si="0"/>
        <v>70</v>
      </c>
      <c r="G6" s="7"/>
      <c r="H6" s="90"/>
      <c r="I6" s="7"/>
      <c r="J6" s="7"/>
      <c r="K6" s="7"/>
      <c r="L6" s="7"/>
      <c r="M6" s="7">
        <v>70</v>
      </c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45136</v>
      </c>
      <c r="B7" s="7"/>
      <c r="C7" s="7" t="s">
        <v>17</v>
      </c>
      <c r="D7" s="7">
        <v>65</v>
      </c>
      <c r="E7" s="7" t="s">
        <v>277</v>
      </c>
      <c r="F7" s="7">
        <f t="shared" si="0"/>
        <v>170</v>
      </c>
      <c r="G7" s="7">
        <v>170</v>
      </c>
      <c r="H7" s="90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45136</v>
      </c>
      <c r="B8" s="7"/>
      <c r="C8" s="7" t="s">
        <v>18</v>
      </c>
      <c r="D8" s="7">
        <v>2036</v>
      </c>
      <c r="E8" s="7" t="s">
        <v>278</v>
      </c>
      <c r="F8" s="7">
        <f t="shared" si="0"/>
        <v>160</v>
      </c>
      <c r="G8" s="7">
        <v>160</v>
      </c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45136</v>
      </c>
      <c r="B9" s="7"/>
      <c r="C9" s="7" t="s">
        <v>30</v>
      </c>
      <c r="D9" s="7"/>
      <c r="E9" s="7" t="s">
        <v>279</v>
      </c>
      <c r="F9" s="7">
        <f t="shared" si="0"/>
        <v>100</v>
      </c>
      <c r="G9" s="7">
        <v>100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45136</v>
      </c>
      <c r="B10" s="7"/>
      <c r="C10" s="7" t="s">
        <v>46</v>
      </c>
      <c r="D10" s="7"/>
      <c r="E10" s="7" t="s">
        <v>274</v>
      </c>
      <c r="F10" s="7">
        <f t="shared" si="0"/>
        <v>200</v>
      </c>
      <c r="G10" s="7">
        <v>200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45136</v>
      </c>
      <c r="B11" s="7"/>
      <c r="C11" s="7"/>
      <c r="D11" s="7"/>
      <c r="E11" s="7" t="s">
        <v>180</v>
      </c>
      <c r="F11" s="7">
        <f t="shared" si="0"/>
        <v>160</v>
      </c>
      <c r="G11" s="7">
        <v>160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45136</v>
      </c>
      <c r="B12" s="7"/>
      <c r="C12" s="7"/>
      <c r="D12" s="7"/>
      <c r="E12" s="7" t="s">
        <v>275</v>
      </c>
      <c r="F12" s="7">
        <f t="shared" si="0"/>
        <v>150</v>
      </c>
      <c r="G12" s="7">
        <v>150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45136</v>
      </c>
      <c r="B13" s="7"/>
      <c r="C13" s="7"/>
      <c r="D13" s="7"/>
      <c r="E13" s="7" t="s">
        <v>273</v>
      </c>
      <c r="F13" s="7">
        <f t="shared" si="0"/>
        <v>200</v>
      </c>
      <c r="G13" s="7"/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>
        <v>200</v>
      </c>
    </row>
    <row r="14" spans="1:20" ht="25.5" customHeight="1" x14ac:dyDescent="0.25">
      <c r="A14" s="68">
        <v>45136</v>
      </c>
      <c r="B14" s="7"/>
      <c r="C14" s="7"/>
      <c r="D14" s="7"/>
      <c r="E14" s="7" t="s">
        <v>276</v>
      </c>
      <c r="F14" s="7">
        <f t="shared" si="0"/>
        <v>170</v>
      </c>
      <c r="G14" s="7">
        <v>170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45136</v>
      </c>
      <c r="B15" s="7"/>
      <c r="C15" s="7"/>
      <c r="D15" s="7"/>
      <c r="E15" s="7" t="s">
        <v>183</v>
      </c>
      <c r="F15" s="7">
        <f t="shared" si="0"/>
        <v>120</v>
      </c>
      <c r="G15" s="7">
        <v>120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45136</v>
      </c>
      <c r="B16" s="7"/>
      <c r="C16" s="7"/>
      <c r="D16" s="7"/>
      <c r="E16" s="7" t="s">
        <v>159</v>
      </c>
      <c r="F16" s="7">
        <f t="shared" si="0"/>
        <v>150</v>
      </c>
      <c r="G16" s="7">
        <v>150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45136</v>
      </c>
      <c r="B17" s="7"/>
      <c r="C17" s="7"/>
      <c r="D17" s="7"/>
      <c r="E17" s="7" t="s">
        <v>271</v>
      </c>
      <c r="F17" s="7">
        <f t="shared" si="0"/>
        <v>50</v>
      </c>
      <c r="G17" s="7">
        <v>50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45136</v>
      </c>
      <c r="B18" s="7"/>
      <c r="C18" s="7"/>
      <c r="D18" s="7"/>
      <c r="E18" s="7" t="s">
        <v>280</v>
      </c>
      <c r="F18" s="7">
        <f t="shared" si="0"/>
        <v>30</v>
      </c>
      <c r="G18" s="7">
        <v>30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45136</v>
      </c>
      <c r="B19" s="7"/>
      <c r="C19" s="7"/>
      <c r="D19" s="7"/>
      <c r="E19" s="7"/>
      <c r="F19" s="7">
        <f t="shared" si="0"/>
        <v>0</v>
      </c>
      <c r="G19" s="7"/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45136</v>
      </c>
      <c r="B20" s="7"/>
      <c r="C20" s="7"/>
      <c r="D20" s="7"/>
      <c r="E20" s="7"/>
      <c r="F20" s="7">
        <f t="shared" si="0"/>
        <v>0</v>
      </c>
      <c r="G20" s="7"/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45136</v>
      </c>
      <c r="B21" s="7"/>
      <c r="C21" s="7"/>
      <c r="D21" s="7"/>
      <c r="E21" s="7"/>
      <c r="F21" s="7">
        <f t="shared" si="0"/>
        <v>0</v>
      </c>
      <c r="G21" s="7"/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45136</v>
      </c>
      <c r="B22" s="7"/>
      <c r="C22" s="7"/>
      <c r="D22" s="7"/>
      <c r="E22" s="7"/>
      <c r="F22" s="7">
        <f t="shared" si="0"/>
        <v>0</v>
      </c>
      <c r="G22" s="7"/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45136</v>
      </c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4914</v>
      </c>
      <c r="E39" s="119"/>
      <c r="F39" s="7">
        <f>SUM(F4:F38)</f>
        <v>1995</v>
      </c>
      <c r="G39" s="7">
        <f t="shared" ref="G39:T39" si="1">SUM(G4:G38)</f>
        <v>1460</v>
      </c>
      <c r="H39" s="90">
        <f t="shared" si="1"/>
        <v>85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180</v>
      </c>
      <c r="M39" s="7">
        <f t="shared" si="1"/>
        <v>70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200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4914</v>
      </c>
      <c r="C42" s="8"/>
      <c r="E42" s="6">
        <v>200</v>
      </c>
      <c r="F42" s="7">
        <v>1</v>
      </c>
      <c r="G42" s="8">
        <f t="shared" ref="G42:G48" si="2">+E42*F42</f>
        <v>200</v>
      </c>
    </row>
    <row r="43" spans="1:20" ht="46.5" customHeight="1" x14ac:dyDescent="0.25">
      <c r="A43" s="10" t="s">
        <v>20</v>
      </c>
      <c r="B43" s="7">
        <f>D8</f>
        <v>2036</v>
      </c>
      <c r="C43" s="8"/>
      <c r="E43" s="6">
        <v>100</v>
      </c>
      <c r="F43" s="7">
        <v>2</v>
      </c>
      <c r="G43" s="8">
        <f t="shared" si="2"/>
        <v>200</v>
      </c>
    </row>
    <row r="44" spans="1:20" ht="46.5" customHeight="1" x14ac:dyDescent="0.25">
      <c r="A44" s="10" t="s">
        <v>21</v>
      </c>
      <c r="B44" s="7">
        <f>F39</f>
        <v>1995</v>
      </c>
      <c r="C44" s="8"/>
      <c r="E44" s="6">
        <v>50</v>
      </c>
      <c r="F44" s="7">
        <v>9</v>
      </c>
      <c r="G44" s="8">
        <f t="shared" si="2"/>
        <v>450</v>
      </c>
    </row>
    <row r="45" spans="1:20" ht="51.75" customHeight="1" x14ac:dyDescent="0.25">
      <c r="A45" s="10" t="s">
        <v>22</v>
      </c>
      <c r="B45" s="12">
        <f>+B42-B43-B44</f>
        <v>883</v>
      </c>
      <c r="C45" s="13"/>
      <c r="E45" s="6">
        <v>20</v>
      </c>
      <c r="F45" s="7"/>
      <c r="G45" s="8">
        <f t="shared" si="2"/>
        <v>0</v>
      </c>
    </row>
    <row r="46" spans="1:20" ht="46.5" customHeight="1" x14ac:dyDescent="0.25">
      <c r="A46" s="10" t="s">
        <v>23</v>
      </c>
      <c r="B46" s="12">
        <f>G49</f>
        <v>882</v>
      </c>
      <c r="C46" s="13"/>
      <c r="D46" s="1"/>
      <c r="E46" s="6">
        <v>10</v>
      </c>
      <c r="F46" s="7"/>
      <c r="G46" s="8">
        <f t="shared" si="2"/>
        <v>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5</v>
      </c>
      <c r="G47" s="8">
        <f t="shared" si="2"/>
        <v>25</v>
      </c>
    </row>
    <row r="48" spans="1:20" ht="36.75" customHeight="1" x14ac:dyDescent="0.25">
      <c r="A48" s="10" t="s">
        <v>7</v>
      </c>
      <c r="B48" s="12">
        <f>IF(B45&gt;B46,B45-B46,0)</f>
        <v>1</v>
      </c>
      <c r="C48" s="13"/>
      <c r="E48" s="6">
        <v>1</v>
      </c>
      <c r="F48" s="7">
        <v>7</v>
      </c>
      <c r="G48" s="8">
        <f t="shared" si="2"/>
        <v>7</v>
      </c>
    </row>
    <row r="49" spans="1:7" ht="30" customHeight="1" thickBot="1" x14ac:dyDescent="0.35">
      <c r="A49" s="11" t="s">
        <v>29</v>
      </c>
      <c r="B49" s="14" t="b">
        <f>B45=B46</f>
        <v>0</v>
      </c>
      <c r="C49" s="15"/>
      <c r="E49" s="137" t="s">
        <v>25</v>
      </c>
      <c r="F49" s="138"/>
      <c r="G49" s="9">
        <f>SUM(G42:G48)</f>
        <v>882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2" zoomScale="82" zoomScaleNormal="82" workbookViewId="0">
      <selection activeCell="G49" sqref="G49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6.85546875" bestFit="1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45137</v>
      </c>
      <c r="B4" s="7"/>
      <c r="C4" s="7" t="s">
        <v>14</v>
      </c>
      <c r="D4" s="7">
        <v>1172</v>
      </c>
      <c r="E4" s="7" t="s">
        <v>281</v>
      </c>
      <c r="F4" s="7">
        <f>SUM(G4:T4)</f>
        <v>50</v>
      </c>
      <c r="G4" s="7"/>
      <c r="H4" s="90">
        <v>50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45137</v>
      </c>
      <c r="B5" s="7"/>
      <c r="C5" s="7" t="s">
        <v>15</v>
      </c>
      <c r="D5" s="7">
        <v>2373</v>
      </c>
      <c r="E5" s="7" t="s">
        <v>282</v>
      </c>
      <c r="F5" s="7">
        <f t="shared" ref="F5:F38" si="0">SUM(G5:T5)</f>
        <v>14</v>
      </c>
      <c r="G5" s="7"/>
      <c r="H5" s="90"/>
      <c r="I5" s="7"/>
      <c r="J5" s="7"/>
      <c r="K5" s="7"/>
      <c r="L5" s="7"/>
      <c r="M5" s="7"/>
      <c r="N5" s="7">
        <v>14</v>
      </c>
      <c r="O5" s="7"/>
      <c r="P5" s="7"/>
      <c r="Q5" s="7"/>
      <c r="R5" s="7"/>
      <c r="S5" s="7"/>
      <c r="T5" s="7"/>
    </row>
    <row r="6" spans="1:20" ht="25.5" customHeight="1" x14ac:dyDescent="0.25">
      <c r="A6" s="68">
        <v>45137</v>
      </c>
      <c r="B6" s="7"/>
      <c r="C6" s="7" t="s">
        <v>16</v>
      </c>
      <c r="D6" s="7"/>
      <c r="E6" s="7" t="s">
        <v>267</v>
      </c>
      <c r="F6" s="7">
        <f t="shared" si="0"/>
        <v>5</v>
      </c>
      <c r="G6" s="7"/>
      <c r="H6" s="90"/>
      <c r="I6" s="7"/>
      <c r="J6" s="7"/>
      <c r="K6" s="7"/>
      <c r="L6" s="7"/>
      <c r="M6" s="7"/>
      <c r="N6" s="7">
        <v>5</v>
      </c>
      <c r="O6" s="7"/>
      <c r="P6" s="7"/>
      <c r="Q6" s="7"/>
      <c r="R6" s="7"/>
      <c r="S6" s="7"/>
      <c r="T6" s="7"/>
    </row>
    <row r="7" spans="1:20" ht="25.5" customHeight="1" x14ac:dyDescent="0.25">
      <c r="A7" s="68">
        <v>45137</v>
      </c>
      <c r="B7" s="7"/>
      <c r="C7" s="7" t="s">
        <v>17</v>
      </c>
      <c r="D7" s="7">
        <v>139</v>
      </c>
      <c r="E7" s="7" t="s">
        <v>12</v>
      </c>
      <c r="F7" s="7">
        <f t="shared" si="0"/>
        <v>125</v>
      </c>
      <c r="G7" s="7"/>
      <c r="H7" s="90"/>
      <c r="I7" s="7"/>
      <c r="J7" s="7"/>
      <c r="K7" s="7"/>
      <c r="L7" s="7">
        <v>125</v>
      </c>
      <c r="M7" s="7"/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45137</v>
      </c>
      <c r="B8" s="7"/>
      <c r="C8" s="7" t="s">
        <v>18</v>
      </c>
      <c r="D8" s="7">
        <f>105+400+320+400+55</f>
        <v>1280</v>
      </c>
      <c r="E8" s="7" t="s">
        <v>274</v>
      </c>
      <c r="F8" s="7">
        <f t="shared" si="0"/>
        <v>200</v>
      </c>
      <c r="G8" s="7">
        <v>200</v>
      </c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45137</v>
      </c>
      <c r="B9" s="7"/>
      <c r="C9" s="7" t="s">
        <v>30</v>
      </c>
      <c r="D9" s="7"/>
      <c r="E9" s="7" t="s">
        <v>283</v>
      </c>
      <c r="F9" s="7">
        <f t="shared" si="0"/>
        <v>160</v>
      </c>
      <c r="G9" s="7">
        <v>160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45137</v>
      </c>
      <c r="B10" s="7"/>
      <c r="C10" s="7" t="s">
        <v>46</v>
      </c>
      <c r="D10" s="7"/>
      <c r="E10" s="7" t="s">
        <v>211</v>
      </c>
      <c r="F10" s="7">
        <f t="shared" si="0"/>
        <v>100</v>
      </c>
      <c r="G10" s="7">
        <v>100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45137</v>
      </c>
      <c r="B11" s="7"/>
      <c r="C11" s="7"/>
      <c r="D11" s="7"/>
      <c r="E11" s="7" t="s">
        <v>158</v>
      </c>
      <c r="F11" s="7">
        <f t="shared" si="0"/>
        <v>50</v>
      </c>
      <c r="G11" s="7">
        <v>50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45137</v>
      </c>
      <c r="B12" s="7"/>
      <c r="C12" s="7"/>
      <c r="D12" s="7"/>
      <c r="E12" s="7" t="s">
        <v>178</v>
      </c>
      <c r="F12" s="7">
        <f t="shared" si="0"/>
        <v>170</v>
      </c>
      <c r="G12" s="7">
        <v>170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45137</v>
      </c>
      <c r="B13" s="7"/>
      <c r="C13" s="7"/>
      <c r="D13" s="7"/>
      <c r="E13" s="7" t="s">
        <v>284</v>
      </c>
      <c r="F13" s="7">
        <f t="shared" si="0"/>
        <v>150</v>
      </c>
      <c r="G13" s="7">
        <v>150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45137</v>
      </c>
      <c r="B14" s="7"/>
      <c r="C14" s="7"/>
      <c r="D14" s="7"/>
      <c r="E14" s="7" t="s">
        <v>180</v>
      </c>
      <c r="F14" s="7">
        <f t="shared" si="0"/>
        <v>160</v>
      </c>
      <c r="G14" s="7">
        <v>160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45137</v>
      </c>
      <c r="B15" s="7"/>
      <c r="C15" s="7"/>
      <c r="D15" s="7"/>
      <c r="E15" s="7" t="s">
        <v>177</v>
      </c>
      <c r="F15" s="7">
        <f t="shared" si="0"/>
        <v>200</v>
      </c>
      <c r="G15" s="7"/>
      <c r="H15" s="90"/>
      <c r="I15" s="7"/>
      <c r="J15" s="7"/>
      <c r="K15" s="7"/>
      <c r="L15" s="7"/>
      <c r="M15" s="7"/>
      <c r="N15" s="7"/>
      <c r="O15" s="7"/>
      <c r="P15" s="7"/>
      <c r="Q15" s="7"/>
      <c r="R15" s="7">
        <v>200</v>
      </c>
      <c r="S15" s="7"/>
      <c r="T15" s="7"/>
    </row>
    <row r="16" spans="1:20" ht="25.5" customHeight="1" x14ac:dyDescent="0.25">
      <c r="A16" s="68">
        <v>45137</v>
      </c>
      <c r="B16" s="7"/>
      <c r="C16" s="7"/>
      <c r="D16" s="7"/>
      <c r="E16" s="7" t="s">
        <v>105</v>
      </c>
      <c r="F16" s="7">
        <f t="shared" si="0"/>
        <v>170</v>
      </c>
      <c r="G16" s="7">
        <v>170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45137</v>
      </c>
      <c r="B17" s="7"/>
      <c r="C17" s="7"/>
      <c r="D17" s="7"/>
      <c r="E17" s="7" t="s">
        <v>159</v>
      </c>
      <c r="F17" s="7">
        <f t="shared" si="0"/>
        <v>150</v>
      </c>
      <c r="G17" s="7">
        <v>150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45137</v>
      </c>
      <c r="B18" s="7"/>
      <c r="C18" s="7"/>
      <c r="D18" s="7"/>
      <c r="E18" s="7" t="s">
        <v>285</v>
      </c>
      <c r="F18" s="7">
        <f t="shared" si="0"/>
        <v>120</v>
      </c>
      <c r="G18" s="7">
        <v>120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/>
      <c r="B19" s="7"/>
      <c r="C19" s="7"/>
      <c r="D19" s="7"/>
      <c r="E19" s="7" t="s">
        <v>271</v>
      </c>
      <c r="F19" s="7">
        <f t="shared" si="0"/>
        <v>50</v>
      </c>
      <c r="G19" s="7">
        <v>50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/>
      <c r="B20" s="7"/>
      <c r="C20" s="7"/>
      <c r="D20" s="7"/>
      <c r="E20" s="7" t="s">
        <v>286</v>
      </c>
      <c r="F20" s="7">
        <f t="shared" si="0"/>
        <v>10</v>
      </c>
      <c r="G20" s="7"/>
      <c r="H20" s="90"/>
      <c r="I20" s="7"/>
      <c r="J20" s="7"/>
      <c r="K20" s="7"/>
      <c r="L20" s="7"/>
      <c r="M20" s="7">
        <v>10</v>
      </c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/>
      <c r="B21" s="7"/>
      <c r="C21" s="7"/>
      <c r="D21" s="7"/>
      <c r="E21" s="7" t="s">
        <v>273</v>
      </c>
      <c r="F21" s="7">
        <f t="shared" si="0"/>
        <v>425</v>
      </c>
      <c r="G21" s="7"/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>
        <v>425</v>
      </c>
    </row>
    <row r="22" spans="1:20" ht="25.5" customHeight="1" x14ac:dyDescent="0.25">
      <c r="A22" s="68"/>
      <c r="B22" s="7"/>
      <c r="C22" s="7"/>
      <c r="D22" s="7"/>
      <c r="E22" s="7" t="s">
        <v>280</v>
      </c>
      <c r="F22" s="7">
        <f t="shared" si="0"/>
        <v>30</v>
      </c>
      <c r="G22" s="7">
        <v>30</v>
      </c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/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4964</v>
      </c>
      <c r="E39" s="119"/>
      <c r="F39" s="7">
        <f>SUM(F4:F38)</f>
        <v>2339</v>
      </c>
      <c r="G39" s="7">
        <f t="shared" ref="G39:T39" si="1">SUM(G4:G38)</f>
        <v>1510</v>
      </c>
      <c r="H39" s="90">
        <f t="shared" si="1"/>
        <v>50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125</v>
      </c>
      <c r="M39" s="7">
        <f t="shared" si="1"/>
        <v>10</v>
      </c>
      <c r="N39" s="7">
        <f t="shared" si="1"/>
        <v>19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200</v>
      </c>
      <c r="S39" s="7">
        <f t="shared" si="1"/>
        <v>0</v>
      </c>
      <c r="T39" s="7">
        <f t="shared" si="1"/>
        <v>425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4964</v>
      </c>
      <c r="C42" s="8"/>
      <c r="E42" s="6">
        <v>200</v>
      </c>
      <c r="F42" s="7"/>
      <c r="G42" s="8">
        <f t="shared" ref="G42:G48" si="2">+E42*F42</f>
        <v>0</v>
      </c>
    </row>
    <row r="43" spans="1:20" ht="46.5" customHeight="1" x14ac:dyDescent="0.25">
      <c r="A43" s="10" t="s">
        <v>20</v>
      </c>
      <c r="B43" s="7">
        <f>D8</f>
        <v>1280</v>
      </c>
      <c r="C43" s="8"/>
      <c r="E43" s="6">
        <v>100</v>
      </c>
      <c r="F43" s="7">
        <v>11</v>
      </c>
      <c r="G43" s="8">
        <f t="shared" si="2"/>
        <v>1100</v>
      </c>
    </row>
    <row r="44" spans="1:20" ht="46.5" customHeight="1" x14ac:dyDescent="0.25">
      <c r="A44" s="10" t="s">
        <v>21</v>
      </c>
      <c r="B44" s="7">
        <f>F39</f>
        <v>2339</v>
      </c>
      <c r="C44" s="8"/>
      <c r="E44" s="6">
        <v>50</v>
      </c>
      <c r="F44" s="7">
        <v>2</v>
      </c>
      <c r="G44" s="8">
        <f t="shared" si="2"/>
        <v>100</v>
      </c>
    </row>
    <row r="45" spans="1:20" ht="51.75" customHeight="1" x14ac:dyDescent="0.25">
      <c r="A45" s="10" t="s">
        <v>22</v>
      </c>
      <c r="B45" s="12">
        <f>+B42-B43-B44</f>
        <v>1345</v>
      </c>
      <c r="C45" s="13"/>
      <c r="E45" s="6">
        <v>20</v>
      </c>
      <c r="F45" s="7">
        <v>3</v>
      </c>
      <c r="G45" s="8">
        <f t="shared" si="2"/>
        <v>60</v>
      </c>
    </row>
    <row r="46" spans="1:20" ht="46.5" customHeight="1" x14ac:dyDescent="0.25">
      <c r="A46" s="10" t="s">
        <v>23</v>
      </c>
      <c r="B46" s="12">
        <f>G49</f>
        <v>1345</v>
      </c>
      <c r="C46" s="13"/>
      <c r="D46" s="1"/>
      <c r="E46" s="6">
        <v>10</v>
      </c>
      <c r="F46" s="7">
        <v>5</v>
      </c>
      <c r="G46" s="8">
        <f t="shared" si="2"/>
        <v>50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7</v>
      </c>
      <c r="G47" s="8">
        <f t="shared" si="2"/>
        <v>35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/>
      <c r="G48" s="8">
        <f t="shared" si="2"/>
        <v>0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1345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1" zoomScale="71" zoomScaleNormal="71" workbookViewId="0">
      <selection activeCell="B21" sqref="B21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45138</v>
      </c>
      <c r="B4" s="7"/>
      <c r="C4" s="7" t="s">
        <v>14</v>
      </c>
      <c r="D4" s="7">
        <v>657</v>
      </c>
      <c r="E4" s="7" t="s">
        <v>141</v>
      </c>
      <c r="F4" s="7">
        <f>SUM(G4:T4)</f>
        <v>65</v>
      </c>
      <c r="G4" s="7"/>
      <c r="H4" s="90">
        <v>65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45138</v>
      </c>
      <c r="B5" s="7"/>
      <c r="C5" s="7" t="s">
        <v>15</v>
      </c>
      <c r="D5" s="7">
        <v>3317</v>
      </c>
      <c r="E5" s="7" t="s">
        <v>142</v>
      </c>
      <c r="F5" s="7">
        <f t="shared" ref="F5:F38" si="0">SUM(G5:T5)</f>
        <v>5</v>
      </c>
      <c r="G5" s="7"/>
      <c r="H5" s="90"/>
      <c r="I5" s="7"/>
      <c r="J5" s="7"/>
      <c r="K5" s="7"/>
      <c r="L5" s="7"/>
      <c r="M5" s="7"/>
      <c r="N5" s="7"/>
      <c r="O5" s="7"/>
      <c r="P5" s="7">
        <v>5</v>
      </c>
      <c r="Q5" s="7"/>
      <c r="R5" s="7"/>
      <c r="S5" s="7"/>
      <c r="T5" s="7"/>
    </row>
    <row r="6" spans="1:20" ht="25.5" customHeight="1" x14ac:dyDescent="0.25">
      <c r="A6" s="68">
        <v>45138</v>
      </c>
      <c r="B6" s="7"/>
      <c r="C6" s="7" t="s">
        <v>16</v>
      </c>
      <c r="D6" s="7">
        <v>0</v>
      </c>
      <c r="E6" s="7" t="s">
        <v>126</v>
      </c>
      <c r="F6" s="7">
        <f t="shared" si="0"/>
        <v>400</v>
      </c>
      <c r="G6" s="7"/>
      <c r="H6" s="90"/>
      <c r="I6" s="7"/>
      <c r="J6" s="7"/>
      <c r="K6" s="7"/>
      <c r="L6" s="7"/>
      <c r="M6" s="7"/>
      <c r="N6" s="7"/>
      <c r="O6" s="7"/>
      <c r="P6" s="7"/>
      <c r="Q6" s="7"/>
      <c r="R6" s="7">
        <v>400</v>
      </c>
      <c r="S6" s="7"/>
      <c r="T6" s="7"/>
    </row>
    <row r="7" spans="1:20" ht="25.5" customHeight="1" x14ac:dyDescent="0.25">
      <c r="A7" s="68">
        <v>45138</v>
      </c>
      <c r="B7" s="7"/>
      <c r="C7" s="7" t="s">
        <v>17</v>
      </c>
      <c r="D7" s="7">
        <v>40</v>
      </c>
      <c r="E7" s="7" t="s">
        <v>91</v>
      </c>
      <c r="F7" s="7">
        <f t="shared" si="0"/>
        <v>200</v>
      </c>
      <c r="G7" s="7">
        <v>200</v>
      </c>
      <c r="H7" s="90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45138</v>
      </c>
      <c r="B8" s="7"/>
      <c r="C8" s="7" t="s">
        <v>18</v>
      </c>
      <c r="D8" s="7">
        <f>25+25+3000+260+50+150+95+15</f>
        <v>3620</v>
      </c>
      <c r="E8" s="7" t="s">
        <v>92</v>
      </c>
      <c r="F8" s="7">
        <f t="shared" si="0"/>
        <v>100</v>
      </c>
      <c r="G8" s="7">
        <v>100</v>
      </c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45138</v>
      </c>
      <c r="B9" s="7"/>
      <c r="C9" s="7" t="s">
        <v>30</v>
      </c>
      <c r="D9" s="7">
        <v>0</v>
      </c>
      <c r="E9" s="7" t="s">
        <v>86</v>
      </c>
      <c r="F9" s="7">
        <f t="shared" si="0"/>
        <v>170</v>
      </c>
      <c r="G9" s="7">
        <v>170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45138</v>
      </c>
      <c r="B10" s="7"/>
      <c r="C10" s="7" t="s">
        <v>46</v>
      </c>
      <c r="D10" s="7">
        <v>0</v>
      </c>
      <c r="E10" s="7" t="s">
        <v>125</v>
      </c>
      <c r="F10" s="7">
        <f t="shared" si="0"/>
        <v>90</v>
      </c>
      <c r="G10" s="7"/>
      <c r="H10" s="90"/>
      <c r="I10" s="7"/>
      <c r="J10" s="7"/>
      <c r="K10" s="7"/>
      <c r="L10" s="7">
        <v>90</v>
      </c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45138</v>
      </c>
      <c r="B11" s="7"/>
      <c r="C11" s="7"/>
      <c r="D11" s="7"/>
      <c r="E11" s="7" t="s">
        <v>96</v>
      </c>
      <c r="F11" s="7">
        <f t="shared" si="0"/>
        <v>170</v>
      </c>
      <c r="G11" s="7">
        <v>170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45138</v>
      </c>
      <c r="B12" s="7"/>
      <c r="C12" s="7"/>
      <c r="D12" s="7"/>
      <c r="E12" s="7" t="s">
        <v>107</v>
      </c>
      <c r="F12" s="7">
        <f t="shared" si="0"/>
        <v>30</v>
      </c>
      <c r="G12" s="7">
        <v>30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45138</v>
      </c>
      <c r="B13" s="7"/>
      <c r="C13" s="7"/>
      <c r="D13" s="7"/>
      <c r="E13" s="7" t="s">
        <v>90</v>
      </c>
      <c r="F13" s="7">
        <f t="shared" si="0"/>
        <v>50</v>
      </c>
      <c r="G13" s="7">
        <v>50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45138</v>
      </c>
      <c r="B14" s="7"/>
      <c r="C14" s="7"/>
      <c r="D14" s="7"/>
      <c r="E14" s="7" t="s">
        <v>103</v>
      </c>
      <c r="F14" s="7">
        <f t="shared" si="0"/>
        <v>160</v>
      </c>
      <c r="G14" s="7">
        <v>160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45138</v>
      </c>
      <c r="B15" s="7"/>
      <c r="C15" s="7"/>
      <c r="D15" s="7"/>
      <c r="E15" s="7" t="s">
        <v>88</v>
      </c>
      <c r="F15" s="7">
        <f t="shared" si="0"/>
        <v>160</v>
      </c>
      <c r="G15" s="7">
        <v>160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45138</v>
      </c>
      <c r="B16" s="7"/>
      <c r="C16" s="7"/>
      <c r="D16" s="7"/>
      <c r="E16" s="7" t="s">
        <v>99</v>
      </c>
      <c r="F16" s="7">
        <f t="shared" si="0"/>
        <v>150</v>
      </c>
      <c r="G16" s="7">
        <v>150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45138</v>
      </c>
      <c r="B17" s="7"/>
      <c r="C17" s="7"/>
      <c r="D17" s="7"/>
      <c r="E17" s="7" t="s">
        <v>98</v>
      </c>
      <c r="F17" s="7">
        <f t="shared" si="0"/>
        <v>120</v>
      </c>
      <c r="G17" s="7">
        <v>120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45138</v>
      </c>
      <c r="B18" s="7"/>
      <c r="C18" s="7"/>
      <c r="D18" s="7"/>
      <c r="E18" s="7" t="s">
        <v>104</v>
      </c>
      <c r="F18" s="7">
        <f t="shared" si="0"/>
        <v>50</v>
      </c>
      <c r="G18" s="7">
        <v>50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45138</v>
      </c>
      <c r="B19" s="7"/>
      <c r="C19" s="7"/>
      <c r="D19" s="7"/>
      <c r="E19" s="7"/>
      <c r="F19" s="7">
        <f t="shared" si="0"/>
        <v>0</v>
      </c>
      <c r="G19" s="7"/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45138</v>
      </c>
      <c r="B20" s="7"/>
      <c r="C20" s="7"/>
      <c r="D20" s="7"/>
      <c r="E20" s="7"/>
      <c r="F20" s="7">
        <f t="shared" si="0"/>
        <v>0</v>
      </c>
      <c r="G20" s="7"/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45138</v>
      </c>
      <c r="B21" s="7"/>
      <c r="C21" s="7"/>
      <c r="D21" s="7"/>
      <c r="E21" s="7"/>
      <c r="F21" s="7">
        <f t="shared" si="0"/>
        <v>0</v>
      </c>
      <c r="G21" s="7"/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45138</v>
      </c>
      <c r="B22" s="7"/>
      <c r="C22" s="7"/>
      <c r="D22" s="7"/>
      <c r="E22" s="7"/>
      <c r="F22" s="7">
        <f t="shared" si="0"/>
        <v>0</v>
      </c>
      <c r="G22" s="7"/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45138</v>
      </c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7634</v>
      </c>
      <c r="E39" s="119"/>
      <c r="F39" s="7">
        <f>SUM(F4:F38)</f>
        <v>1920</v>
      </c>
      <c r="G39" s="7">
        <f t="shared" ref="G39:T39" si="1">SUM(G4:G38)</f>
        <v>1360</v>
      </c>
      <c r="H39" s="90">
        <f t="shared" si="1"/>
        <v>65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90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5</v>
      </c>
      <c r="Q39" s="7">
        <f t="shared" si="1"/>
        <v>0</v>
      </c>
      <c r="R39" s="7">
        <f t="shared" si="1"/>
        <v>400</v>
      </c>
      <c r="S39" s="7">
        <f t="shared" si="1"/>
        <v>0</v>
      </c>
      <c r="T39" s="7">
        <f t="shared" si="1"/>
        <v>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7634</v>
      </c>
      <c r="C42" s="8"/>
      <c r="E42" s="6">
        <v>200</v>
      </c>
      <c r="F42" s="7">
        <v>7</v>
      </c>
      <c r="G42" s="8">
        <f t="shared" ref="G42:G48" si="2">+E42*F42</f>
        <v>1400</v>
      </c>
    </row>
    <row r="43" spans="1:20" ht="46.5" customHeight="1" x14ac:dyDescent="0.25">
      <c r="A43" s="10" t="s">
        <v>20</v>
      </c>
      <c r="B43" s="7">
        <f>D8</f>
        <v>3620</v>
      </c>
      <c r="C43" s="8"/>
      <c r="E43" s="6">
        <v>100</v>
      </c>
      <c r="F43" s="7">
        <v>3</v>
      </c>
      <c r="G43" s="8">
        <f t="shared" si="2"/>
        <v>300</v>
      </c>
    </row>
    <row r="44" spans="1:20" ht="46.5" customHeight="1" x14ac:dyDescent="0.25">
      <c r="A44" s="10" t="s">
        <v>21</v>
      </c>
      <c r="B44" s="7">
        <f>F39</f>
        <v>1920</v>
      </c>
      <c r="C44" s="8"/>
      <c r="E44" s="6">
        <v>50</v>
      </c>
      <c r="F44" s="7">
        <v>8</v>
      </c>
      <c r="G44" s="8">
        <f t="shared" si="2"/>
        <v>400</v>
      </c>
    </row>
    <row r="45" spans="1:20" ht="51.75" customHeight="1" x14ac:dyDescent="0.25">
      <c r="A45" s="10" t="s">
        <v>22</v>
      </c>
      <c r="B45" s="12">
        <f>+B42-B43-B44</f>
        <v>2094</v>
      </c>
      <c r="C45" s="13"/>
      <c r="E45" s="6">
        <v>20</v>
      </c>
      <c r="F45" s="7"/>
      <c r="G45" s="8">
        <f t="shared" si="2"/>
        <v>0</v>
      </c>
    </row>
    <row r="46" spans="1:20" ht="46.5" customHeight="1" x14ac:dyDescent="0.25">
      <c r="A46" s="10" t="s">
        <v>23</v>
      </c>
      <c r="B46" s="12">
        <f>G49</f>
        <v>2100</v>
      </c>
      <c r="C46" s="13"/>
      <c r="D46" s="1"/>
      <c r="E46" s="6">
        <v>10</v>
      </c>
      <c r="F46" s="7"/>
      <c r="G46" s="8">
        <f t="shared" si="2"/>
        <v>0</v>
      </c>
    </row>
    <row r="47" spans="1:20" ht="34.5" customHeight="1" x14ac:dyDescent="0.25">
      <c r="A47" s="10" t="s">
        <v>24</v>
      </c>
      <c r="B47" s="12">
        <f>IF(B45&lt;B46,B46-B45,0)</f>
        <v>6</v>
      </c>
      <c r="C47" s="13"/>
      <c r="E47" s="6">
        <v>5</v>
      </c>
      <c r="F47" s="7"/>
      <c r="G47" s="8">
        <f t="shared" si="2"/>
        <v>0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/>
      <c r="G48" s="8">
        <f t="shared" si="2"/>
        <v>0</v>
      </c>
    </row>
    <row r="49" spans="1:7" ht="30" customHeight="1" thickBot="1" x14ac:dyDescent="0.35">
      <c r="A49" s="11" t="s">
        <v>29</v>
      </c>
      <c r="B49" s="14" t="b">
        <f>B45=B46</f>
        <v>0</v>
      </c>
      <c r="C49" s="15"/>
      <c r="E49" s="137" t="s">
        <v>25</v>
      </c>
      <c r="F49" s="138"/>
      <c r="G49" s="9">
        <f>SUM(G42:G48)</f>
        <v>2100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6"/>
  <sheetViews>
    <sheetView rightToLeft="1" topLeftCell="A41" zoomScale="62" zoomScaleNormal="62" workbookViewId="0">
      <selection activeCell="B86" sqref="B86"/>
    </sheetView>
  </sheetViews>
  <sheetFormatPr defaultRowHeight="15" x14ac:dyDescent="0.25"/>
  <cols>
    <col min="1" max="1" width="22.7109375" bestFit="1" customWidth="1"/>
    <col min="2" max="2" width="19.140625" customWidth="1"/>
    <col min="3" max="3" width="25.42578125" bestFit="1" customWidth="1"/>
    <col min="4" max="4" width="24.7109375" bestFit="1" customWidth="1"/>
    <col min="5" max="5" width="32" bestFit="1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4.5703125" bestFit="1" customWidth="1"/>
    <col min="12" max="12" width="15.42578125" bestFit="1" customWidth="1"/>
    <col min="13" max="13" width="15.85546875" bestFit="1" customWidth="1"/>
    <col min="14" max="14" width="15.42578125" customWidth="1"/>
    <col min="15" max="15" width="19.28515625" bestFit="1" customWidth="1"/>
    <col min="16" max="16" width="19.140625" bestFit="1" customWidth="1"/>
    <col min="17" max="17" width="17.140625" customWidth="1"/>
    <col min="18" max="18" width="18.85546875" bestFit="1" customWidth="1"/>
    <col min="19" max="19" width="14" customWidth="1"/>
    <col min="20" max="20" width="16.5703125" bestFit="1" customWidth="1"/>
  </cols>
  <sheetData>
    <row r="1" spans="1:20" ht="15.75" hidden="1" thickBot="1" x14ac:dyDescent="0.3"/>
    <row r="2" spans="1:20" ht="70.5" customHeight="1" thickBot="1" x14ac:dyDescent="0.4">
      <c r="A2" s="151" t="s">
        <v>0</v>
      </c>
      <c r="B2" s="152"/>
      <c r="C2" s="152"/>
      <c r="D2" s="153"/>
      <c r="E2" s="146">
        <f ca="1">TODAY()</f>
        <v>45141</v>
      </c>
      <c r="F2" s="147"/>
      <c r="G2" s="147"/>
      <c r="H2" s="147"/>
      <c r="I2" s="147"/>
      <c r="J2" s="147"/>
      <c r="K2" s="147"/>
      <c r="L2" s="147"/>
      <c r="M2" s="101"/>
      <c r="N2" s="101"/>
      <c r="O2" s="101"/>
      <c r="P2" s="101"/>
      <c r="Q2" s="101"/>
      <c r="R2" s="101"/>
      <c r="S2" s="101"/>
      <c r="T2" s="101"/>
    </row>
    <row r="3" spans="1:20" s="65" customFormat="1" ht="60.75" customHeight="1" thickBot="1" x14ac:dyDescent="0.35">
      <c r="A3" s="102" t="s">
        <v>4</v>
      </c>
      <c r="B3" s="102" t="s">
        <v>3</v>
      </c>
      <c r="C3" s="102" t="s">
        <v>1</v>
      </c>
      <c r="D3" s="102" t="s">
        <v>2</v>
      </c>
      <c r="E3" s="102" t="s">
        <v>1</v>
      </c>
      <c r="F3" s="102" t="s">
        <v>13</v>
      </c>
      <c r="G3" s="102" t="s">
        <v>5</v>
      </c>
      <c r="H3" s="103" t="s">
        <v>8</v>
      </c>
      <c r="I3" s="104" t="s">
        <v>9</v>
      </c>
      <c r="J3" s="104" t="s">
        <v>10</v>
      </c>
      <c r="K3" s="104" t="s">
        <v>11</v>
      </c>
      <c r="L3" s="104" t="s">
        <v>12</v>
      </c>
      <c r="M3" s="104" t="s">
        <v>31</v>
      </c>
      <c r="N3" s="104" t="s">
        <v>45</v>
      </c>
      <c r="O3" s="104" t="s">
        <v>32</v>
      </c>
      <c r="P3" s="104" t="s">
        <v>34</v>
      </c>
      <c r="Q3" s="104" t="s">
        <v>35</v>
      </c>
      <c r="R3" s="104" t="s">
        <v>39</v>
      </c>
      <c r="S3" s="104" t="s">
        <v>38</v>
      </c>
      <c r="T3" s="105" t="s">
        <v>40</v>
      </c>
    </row>
    <row r="4" spans="1:20" ht="25.5" customHeight="1" thickTop="1" x14ac:dyDescent="0.25">
      <c r="A4" s="106"/>
      <c r="B4" s="107"/>
      <c r="C4" s="107" t="s">
        <v>14</v>
      </c>
      <c r="D4" s="107">
        <f>SUM('1:31'!D4)</f>
        <v>25008</v>
      </c>
      <c r="E4" s="107"/>
      <c r="F4" s="107">
        <f>SUM('1:31'!F4)</f>
        <v>3100</v>
      </c>
      <c r="G4" s="107">
        <f>SUM('1:31'!G4)</f>
        <v>170</v>
      </c>
      <c r="H4" s="108">
        <f>SUM('1:31'!H4)</f>
        <v>1060</v>
      </c>
      <c r="I4" s="109">
        <f>SUM('1:31'!I4)</f>
        <v>0</v>
      </c>
      <c r="J4" s="109">
        <f>SUM('1:31'!J4)</f>
        <v>0</v>
      </c>
      <c r="K4" s="109">
        <f>SUM('1:31'!K4)</f>
        <v>0</v>
      </c>
      <c r="L4" s="109">
        <f>SUM('1:31'!L4)</f>
        <v>405</v>
      </c>
      <c r="M4" s="109">
        <f>SUM('1:31'!M4)</f>
        <v>0</v>
      </c>
      <c r="N4" s="109">
        <f>SUM('1:31'!N4)</f>
        <v>20</v>
      </c>
      <c r="O4" s="109">
        <f>SUM('1:31'!O4)</f>
        <v>0</v>
      </c>
      <c r="P4" s="109">
        <f>SUM('1:31'!P4)</f>
        <v>75</v>
      </c>
      <c r="Q4" s="109">
        <f>SUM('1:31'!Q4)</f>
        <v>0</v>
      </c>
      <c r="R4" s="109">
        <f>SUM('1:31'!R4)</f>
        <v>100</v>
      </c>
      <c r="S4" s="109">
        <f>SUM('1:31'!S4)</f>
        <v>0</v>
      </c>
      <c r="T4" s="109">
        <f>SUM('1:31'!T4)</f>
        <v>1270</v>
      </c>
    </row>
    <row r="5" spans="1:20" ht="25.5" customHeight="1" x14ac:dyDescent="0.25">
      <c r="A5" s="106"/>
      <c r="B5" s="107"/>
      <c r="C5" s="107" t="s">
        <v>15</v>
      </c>
      <c r="D5" s="107">
        <f>SUM('1:31'!D5)</f>
        <v>78692</v>
      </c>
      <c r="E5" s="107"/>
      <c r="F5" s="107">
        <f>SUM('1:31'!F5)</f>
        <v>2300</v>
      </c>
      <c r="G5" s="107">
        <f>SUM('1:31'!G5)</f>
        <v>190</v>
      </c>
      <c r="H5" s="108">
        <f>SUM('1:31'!H5)</f>
        <v>323</v>
      </c>
      <c r="I5" s="109">
        <f>SUM('1:31'!I5)</f>
        <v>0</v>
      </c>
      <c r="J5" s="109">
        <f>SUM('1:31'!J5)</f>
        <v>0</v>
      </c>
      <c r="K5" s="109">
        <f>SUM('1:31'!K5)</f>
        <v>0</v>
      </c>
      <c r="L5" s="109">
        <f>SUM('1:31'!L5)</f>
        <v>785</v>
      </c>
      <c r="M5" s="109">
        <f>SUM('1:31'!M5)</f>
        <v>80</v>
      </c>
      <c r="N5" s="109">
        <f>SUM('1:31'!N5)</f>
        <v>14</v>
      </c>
      <c r="O5" s="109">
        <f>SUM('1:31'!O5)</f>
        <v>0</v>
      </c>
      <c r="P5" s="109">
        <f>SUM('1:31'!P5)</f>
        <v>103</v>
      </c>
      <c r="Q5" s="109">
        <f>SUM('1:31'!Q5)</f>
        <v>0</v>
      </c>
      <c r="R5" s="109">
        <f>SUM('1:31'!R5)</f>
        <v>550</v>
      </c>
      <c r="S5" s="109">
        <f>SUM('1:31'!S5)</f>
        <v>0</v>
      </c>
      <c r="T5" s="109">
        <f>SUM('1:31'!T5)</f>
        <v>255</v>
      </c>
    </row>
    <row r="6" spans="1:20" ht="25.5" customHeight="1" x14ac:dyDescent="0.25">
      <c r="A6" s="106"/>
      <c r="B6" s="107"/>
      <c r="C6" s="107" t="s">
        <v>16</v>
      </c>
      <c r="D6" s="107">
        <f>SUM('1:31'!D6)</f>
        <v>0</v>
      </c>
      <c r="E6" s="107"/>
      <c r="F6" s="107">
        <f>SUM('1:31'!F6)</f>
        <v>3905</v>
      </c>
      <c r="G6" s="107">
        <f>SUM('1:31'!G6)</f>
        <v>720</v>
      </c>
      <c r="H6" s="108">
        <f>SUM('1:31'!H6)</f>
        <v>35</v>
      </c>
      <c r="I6" s="109">
        <f>SUM('1:31'!I6)</f>
        <v>0</v>
      </c>
      <c r="J6" s="109">
        <f>SUM('1:31'!J6)</f>
        <v>0</v>
      </c>
      <c r="K6" s="109">
        <f>SUM('1:31'!K6)</f>
        <v>0</v>
      </c>
      <c r="L6" s="109">
        <f>SUM('1:31'!L6)</f>
        <v>1325</v>
      </c>
      <c r="M6" s="109">
        <f>SUM('1:31'!M6)</f>
        <v>190</v>
      </c>
      <c r="N6" s="109">
        <f>SUM('1:31'!N6)</f>
        <v>525</v>
      </c>
      <c r="O6" s="109">
        <f>SUM('1:31'!O6)</f>
        <v>165</v>
      </c>
      <c r="P6" s="109">
        <f>SUM('1:31'!P6)</f>
        <v>195</v>
      </c>
      <c r="Q6" s="109">
        <f>SUM('1:31'!Q6)</f>
        <v>0</v>
      </c>
      <c r="R6" s="109">
        <f>SUM('1:31'!R6)</f>
        <v>750</v>
      </c>
      <c r="S6" s="109">
        <f>SUM('1:31'!S6)</f>
        <v>0</v>
      </c>
      <c r="T6" s="109">
        <f>SUM('1:31'!T6)</f>
        <v>0</v>
      </c>
    </row>
    <row r="7" spans="1:20" ht="25.5" customHeight="1" x14ac:dyDescent="0.25">
      <c r="A7" s="106"/>
      <c r="B7" s="107"/>
      <c r="C7" s="107" t="s">
        <v>17</v>
      </c>
      <c r="D7" s="107">
        <f>SUM('1:31'!D7)</f>
        <v>4693</v>
      </c>
      <c r="E7" s="107"/>
      <c r="F7" s="107">
        <f>SUM('1:31'!F7)</f>
        <v>5145</v>
      </c>
      <c r="G7" s="107">
        <f>SUM('1:31'!G7)</f>
        <v>1290</v>
      </c>
      <c r="H7" s="108">
        <f>SUM('1:31'!H7)</f>
        <v>15</v>
      </c>
      <c r="I7" s="109">
        <f>SUM('1:31'!I7)</f>
        <v>0</v>
      </c>
      <c r="J7" s="109">
        <f>SUM('1:31'!J7)</f>
        <v>0</v>
      </c>
      <c r="K7" s="109">
        <f>SUM('1:31'!K7)</f>
        <v>0</v>
      </c>
      <c r="L7" s="109">
        <f>SUM('1:31'!L7)</f>
        <v>550</v>
      </c>
      <c r="M7" s="109">
        <f>SUM('1:31'!M7)</f>
        <v>65</v>
      </c>
      <c r="N7" s="109">
        <f>SUM('1:31'!N7)</f>
        <v>235</v>
      </c>
      <c r="O7" s="109">
        <f>SUM('1:31'!O7)</f>
        <v>0</v>
      </c>
      <c r="P7" s="109">
        <f>SUM('1:31'!P7)</f>
        <v>65</v>
      </c>
      <c r="Q7" s="109">
        <f>SUM('1:31'!Q7)</f>
        <v>0</v>
      </c>
      <c r="R7" s="109">
        <f>SUM('1:31'!R7)</f>
        <v>1765</v>
      </c>
      <c r="S7" s="109">
        <f>SUM('1:31'!S7)</f>
        <v>0</v>
      </c>
      <c r="T7" s="109">
        <f>SUM('1:31'!T7)</f>
        <v>1160</v>
      </c>
    </row>
    <row r="8" spans="1:20" ht="25.5" customHeight="1" x14ac:dyDescent="0.25">
      <c r="A8" s="106"/>
      <c r="B8" s="107"/>
      <c r="C8" s="107" t="s">
        <v>18</v>
      </c>
      <c r="D8" s="107">
        <f>SUM('1:31'!D8)</f>
        <v>51607</v>
      </c>
      <c r="E8" s="107"/>
      <c r="F8" s="107">
        <f>SUM('1:31'!F8)</f>
        <v>6060</v>
      </c>
      <c r="G8" s="107">
        <f>SUM('1:31'!G8)</f>
        <v>1430</v>
      </c>
      <c r="H8" s="108">
        <f>SUM('1:31'!H8)</f>
        <v>145</v>
      </c>
      <c r="I8" s="109">
        <f>SUM('1:31'!I8)</f>
        <v>0</v>
      </c>
      <c r="J8" s="109">
        <f>SUM('1:31'!J8)</f>
        <v>0</v>
      </c>
      <c r="K8" s="109">
        <f>SUM('1:31'!K8)</f>
        <v>0</v>
      </c>
      <c r="L8" s="109">
        <f>SUM('1:31'!L8)</f>
        <v>563</v>
      </c>
      <c r="M8" s="109">
        <f>SUM('1:31'!M8)</f>
        <v>50</v>
      </c>
      <c r="N8" s="109">
        <f>SUM('1:31'!N8)</f>
        <v>127</v>
      </c>
      <c r="O8" s="109">
        <f>SUM('1:31'!O8)</f>
        <v>0</v>
      </c>
      <c r="P8" s="109">
        <f>SUM('1:31'!P8)</f>
        <v>25</v>
      </c>
      <c r="Q8" s="109">
        <f>SUM('1:31'!Q8)</f>
        <v>0</v>
      </c>
      <c r="R8" s="109">
        <f>SUM('1:31'!R8)</f>
        <v>250</v>
      </c>
      <c r="S8" s="109">
        <f>SUM('1:31'!S8)</f>
        <v>0</v>
      </c>
      <c r="T8" s="109">
        <f>SUM('1:31'!T8)</f>
        <v>3470</v>
      </c>
    </row>
    <row r="9" spans="1:20" ht="25.5" customHeight="1" x14ac:dyDescent="0.25">
      <c r="A9" s="106"/>
      <c r="B9" s="107"/>
      <c r="C9" s="107" t="s">
        <v>30</v>
      </c>
      <c r="D9" s="107">
        <f>SUM('1:31'!D9)</f>
        <v>0</v>
      </c>
      <c r="E9" s="107"/>
      <c r="F9" s="107">
        <f>SUM('1:31'!F9)</f>
        <v>4510</v>
      </c>
      <c r="G9" s="107">
        <f>SUM('1:31'!G9)</f>
        <v>2670</v>
      </c>
      <c r="H9" s="108">
        <f>SUM('1:31'!H9)</f>
        <v>0</v>
      </c>
      <c r="I9" s="109">
        <f>SUM('1:31'!I9)</f>
        <v>0</v>
      </c>
      <c r="J9" s="109">
        <f>SUM('1:31'!J9)</f>
        <v>0</v>
      </c>
      <c r="K9" s="109">
        <f>SUM('1:31'!K9)</f>
        <v>0</v>
      </c>
      <c r="L9" s="109">
        <f>SUM('1:31'!L9)</f>
        <v>0</v>
      </c>
      <c r="M9" s="109">
        <f>SUM('1:31'!M9)</f>
        <v>40</v>
      </c>
      <c r="N9" s="109">
        <f>SUM('1:31'!N9)</f>
        <v>340</v>
      </c>
      <c r="O9" s="109">
        <f>SUM('1:31'!O9)</f>
        <v>205</v>
      </c>
      <c r="P9" s="109">
        <f>SUM('1:31'!P9)</f>
        <v>0</v>
      </c>
      <c r="Q9" s="109">
        <f>SUM('1:31'!Q9)</f>
        <v>0</v>
      </c>
      <c r="R9" s="109">
        <f>SUM('1:31'!R9)</f>
        <v>200</v>
      </c>
      <c r="S9" s="109">
        <f>SUM('1:31'!S9)</f>
        <v>0</v>
      </c>
      <c r="T9" s="109">
        <f>SUM('1:31'!T9)</f>
        <v>1055</v>
      </c>
    </row>
    <row r="10" spans="1:20" ht="25.5" customHeight="1" x14ac:dyDescent="0.25">
      <c r="A10" s="106"/>
      <c r="B10" s="107"/>
      <c r="C10" s="107" t="s">
        <v>46</v>
      </c>
      <c r="D10" s="107">
        <f>SUM('1:31'!D10)</f>
        <v>0</v>
      </c>
      <c r="E10" s="107"/>
      <c r="F10" s="107">
        <f>SUM('1:31'!F10)</f>
        <v>4118</v>
      </c>
      <c r="G10" s="107">
        <f>SUM('1:31'!G10)</f>
        <v>3475</v>
      </c>
      <c r="H10" s="108">
        <f>SUM('1:31'!H10)</f>
        <v>130</v>
      </c>
      <c r="I10" s="109">
        <f>SUM('1:31'!I10)</f>
        <v>0</v>
      </c>
      <c r="J10" s="109">
        <f>SUM('1:31'!J10)</f>
        <v>0</v>
      </c>
      <c r="K10" s="109">
        <f>SUM('1:31'!K10)</f>
        <v>0</v>
      </c>
      <c r="L10" s="109">
        <f>SUM('1:31'!L10)</f>
        <v>225</v>
      </c>
      <c r="M10" s="109">
        <f>SUM('1:31'!M10)</f>
        <v>10</v>
      </c>
      <c r="N10" s="109">
        <f>SUM('1:31'!N10)</f>
        <v>20</v>
      </c>
      <c r="O10" s="109">
        <f>SUM('1:31'!O10)</f>
        <v>0</v>
      </c>
      <c r="P10" s="109">
        <f>SUM('1:31'!P10)</f>
        <v>8</v>
      </c>
      <c r="Q10" s="109">
        <f>SUM('1:31'!Q10)</f>
        <v>0</v>
      </c>
      <c r="R10" s="109">
        <f>SUM('1:31'!R10)</f>
        <v>200</v>
      </c>
      <c r="S10" s="109">
        <f>SUM('1:31'!S10)</f>
        <v>50</v>
      </c>
      <c r="T10" s="109">
        <f>SUM('1:31'!T10)</f>
        <v>0</v>
      </c>
    </row>
    <row r="11" spans="1:20" ht="25.5" customHeight="1" x14ac:dyDescent="0.25">
      <c r="A11" s="106"/>
      <c r="B11" s="107"/>
      <c r="C11" s="107"/>
      <c r="D11" s="107">
        <f>SUM('1:31'!D11)</f>
        <v>0</v>
      </c>
      <c r="E11" s="107"/>
      <c r="F11" s="107">
        <f>SUM('1:31'!F11)</f>
        <v>4639</v>
      </c>
      <c r="G11" s="107">
        <f>SUM('1:31'!G11)</f>
        <v>3670</v>
      </c>
      <c r="H11" s="108">
        <f>SUM('1:31'!H11)</f>
        <v>0</v>
      </c>
      <c r="I11" s="109">
        <f>SUM('1:31'!I11)</f>
        <v>0</v>
      </c>
      <c r="J11" s="109">
        <f>SUM('1:31'!J11)</f>
        <v>0</v>
      </c>
      <c r="K11" s="109">
        <f>SUM('1:31'!K11)</f>
        <v>0</v>
      </c>
      <c r="L11" s="109">
        <f>SUM('1:31'!L11)</f>
        <v>110</v>
      </c>
      <c r="M11" s="109">
        <f>SUM('1:31'!M11)</f>
        <v>0</v>
      </c>
      <c r="N11" s="109">
        <f>SUM('1:31'!N11)</f>
        <v>4</v>
      </c>
      <c r="O11" s="109">
        <f>SUM('1:31'!O11)</f>
        <v>0</v>
      </c>
      <c r="P11" s="109">
        <f>SUM('1:31'!P11)</f>
        <v>5</v>
      </c>
      <c r="Q11" s="109">
        <f>SUM('1:31'!Q11)</f>
        <v>0</v>
      </c>
      <c r="R11" s="109">
        <f>SUM('1:31'!R11)</f>
        <v>0</v>
      </c>
      <c r="S11" s="109">
        <f>SUM('1:31'!S11)</f>
        <v>0</v>
      </c>
      <c r="T11" s="109">
        <f>SUM('1:31'!T11)</f>
        <v>850</v>
      </c>
    </row>
    <row r="12" spans="1:20" ht="25.5" customHeight="1" x14ac:dyDescent="0.25">
      <c r="A12" s="106"/>
      <c r="B12" s="107"/>
      <c r="C12" s="107"/>
      <c r="D12" s="107">
        <f>SUM('1:31'!D12)</f>
        <v>0</v>
      </c>
      <c r="E12" s="107"/>
      <c r="F12" s="107">
        <f>SUM('1:31'!F12)</f>
        <v>3706</v>
      </c>
      <c r="G12" s="107">
        <f>SUM('1:31'!G12)</f>
        <v>3020</v>
      </c>
      <c r="H12" s="108">
        <f>SUM('1:31'!H12)</f>
        <v>0</v>
      </c>
      <c r="I12" s="109">
        <f>SUM('1:31'!I12)</f>
        <v>0</v>
      </c>
      <c r="J12" s="109">
        <f>SUM('1:31'!J12)</f>
        <v>0</v>
      </c>
      <c r="K12" s="109">
        <f>SUM('1:31'!K12)</f>
        <v>0</v>
      </c>
      <c r="L12" s="109">
        <f>SUM('1:31'!L12)</f>
        <v>0</v>
      </c>
      <c r="M12" s="109">
        <f>SUM('1:31'!M12)</f>
        <v>0</v>
      </c>
      <c r="N12" s="109">
        <f>SUM('1:31'!N12)</f>
        <v>116</v>
      </c>
      <c r="O12" s="109">
        <f>SUM('1:31'!O12)</f>
        <v>0</v>
      </c>
      <c r="P12" s="109">
        <f>SUM('1:31'!P12)</f>
        <v>15</v>
      </c>
      <c r="Q12" s="109">
        <f>SUM('1:31'!Q12)</f>
        <v>0</v>
      </c>
      <c r="R12" s="109">
        <f>SUM('1:31'!R12)</f>
        <v>0</v>
      </c>
      <c r="S12" s="109">
        <f>SUM('1:31'!S12)</f>
        <v>0</v>
      </c>
      <c r="T12" s="109">
        <f>SUM('1:31'!T12)</f>
        <v>555</v>
      </c>
    </row>
    <row r="13" spans="1:20" ht="25.5" customHeight="1" x14ac:dyDescent="0.25">
      <c r="A13" s="106"/>
      <c r="B13" s="107"/>
      <c r="C13" s="107"/>
      <c r="D13" s="107">
        <f>SUM('1:31'!D13)</f>
        <v>0</v>
      </c>
      <c r="E13" s="107"/>
      <c r="F13" s="107">
        <f>SUM('1:31'!F13)</f>
        <v>4042</v>
      </c>
      <c r="G13" s="107">
        <f>SUM('1:31'!G13)</f>
        <v>3200</v>
      </c>
      <c r="H13" s="108">
        <f>SUM('1:31'!H13)</f>
        <v>0</v>
      </c>
      <c r="I13" s="109">
        <f>SUM('1:31'!I13)</f>
        <v>0</v>
      </c>
      <c r="J13" s="109">
        <f>SUM('1:31'!J13)</f>
        <v>0</v>
      </c>
      <c r="K13" s="109">
        <f>SUM('1:31'!K13)</f>
        <v>0</v>
      </c>
      <c r="L13" s="109">
        <f>SUM('1:31'!L13)</f>
        <v>90</v>
      </c>
      <c r="M13" s="109">
        <f>SUM('1:31'!M13)</f>
        <v>0</v>
      </c>
      <c r="N13" s="109">
        <f>SUM('1:31'!N13)</f>
        <v>102</v>
      </c>
      <c r="O13" s="109">
        <f>SUM('1:31'!O13)</f>
        <v>0</v>
      </c>
      <c r="P13" s="109">
        <f>SUM('1:31'!P13)</f>
        <v>0</v>
      </c>
      <c r="Q13" s="109">
        <f>SUM('1:31'!Q13)</f>
        <v>0</v>
      </c>
      <c r="R13" s="109">
        <f>SUM('1:31'!R13)</f>
        <v>150</v>
      </c>
      <c r="S13" s="109">
        <f>SUM('1:31'!S13)</f>
        <v>0</v>
      </c>
      <c r="T13" s="109">
        <f>SUM('1:31'!T13)</f>
        <v>500</v>
      </c>
    </row>
    <row r="14" spans="1:20" ht="25.5" customHeight="1" x14ac:dyDescent="0.25">
      <c r="A14" s="106"/>
      <c r="B14" s="107"/>
      <c r="C14" s="107"/>
      <c r="D14" s="107">
        <f>SUM('1:31'!D14)</f>
        <v>0</v>
      </c>
      <c r="E14" s="107"/>
      <c r="F14" s="107">
        <f>SUM('1:31'!F14)</f>
        <v>3890</v>
      </c>
      <c r="G14" s="107">
        <f>SUM('1:31'!G14)</f>
        <v>3840</v>
      </c>
      <c r="H14" s="108">
        <f>SUM('1:31'!H14)</f>
        <v>0</v>
      </c>
      <c r="I14" s="109">
        <f>SUM('1:31'!I14)</f>
        <v>0</v>
      </c>
      <c r="J14" s="109">
        <f>SUM('1:31'!J14)</f>
        <v>0</v>
      </c>
      <c r="K14" s="109">
        <f>SUM('1:31'!K14)</f>
        <v>0</v>
      </c>
      <c r="L14" s="109">
        <f>SUM('1:31'!L14)</f>
        <v>0</v>
      </c>
      <c r="M14" s="109">
        <f>SUM('1:31'!M14)</f>
        <v>0</v>
      </c>
      <c r="N14" s="109">
        <f>SUM('1:31'!N14)</f>
        <v>50</v>
      </c>
      <c r="O14" s="109">
        <f>SUM('1:31'!O14)</f>
        <v>0</v>
      </c>
      <c r="P14" s="109">
        <f>SUM('1:31'!P14)</f>
        <v>0</v>
      </c>
      <c r="Q14" s="109">
        <f>SUM('1:31'!Q14)</f>
        <v>0</v>
      </c>
      <c r="R14" s="109">
        <f>SUM('1:31'!R14)</f>
        <v>0</v>
      </c>
      <c r="S14" s="109">
        <f>SUM('1:31'!S14)</f>
        <v>0</v>
      </c>
      <c r="T14" s="109">
        <f>SUM('1:31'!T14)</f>
        <v>0</v>
      </c>
    </row>
    <row r="15" spans="1:20" ht="25.5" customHeight="1" x14ac:dyDescent="0.25">
      <c r="A15" s="106"/>
      <c r="B15" s="107"/>
      <c r="C15" s="107"/>
      <c r="D15" s="107">
        <f>SUM('1:31'!D15)</f>
        <v>0</v>
      </c>
      <c r="E15" s="107"/>
      <c r="F15" s="107">
        <f>SUM('1:31'!F15)</f>
        <v>4114</v>
      </c>
      <c r="G15" s="107">
        <f>SUM('1:31'!G15)</f>
        <v>3890</v>
      </c>
      <c r="H15" s="108">
        <f>SUM('1:31'!H15)</f>
        <v>0</v>
      </c>
      <c r="I15" s="109">
        <f>SUM('1:31'!I15)</f>
        <v>0</v>
      </c>
      <c r="J15" s="109">
        <f>SUM('1:31'!J15)</f>
        <v>0</v>
      </c>
      <c r="K15" s="109">
        <f>SUM('1:31'!K15)</f>
        <v>0</v>
      </c>
      <c r="L15" s="109">
        <f>SUM('1:31'!L15)</f>
        <v>0</v>
      </c>
      <c r="M15" s="109">
        <f>SUM('1:31'!M15)</f>
        <v>0</v>
      </c>
      <c r="N15" s="109">
        <f>SUM('1:31'!N15)</f>
        <v>24</v>
      </c>
      <c r="O15" s="109">
        <f>SUM('1:31'!O15)</f>
        <v>0</v>
      </c>
      <c r="P15" s="109">
        <f>SUM('1:31'!P15)</f>
        <v>0</v>
      </c>
      <c r="Q15" s="109">
        <f>SUM('1:31'!Q15)</f>
        <v>0</v>
      </c>
      <c r="R15" s="109">
        <f>SUM('1:31'!R15)</f>
        <v>200</v>
      </c>
      <c r="S15" s="109">
        <f>SUM('1:31'!S15)</f>
        <v>0</v>
      </c>
      <c r="T15" s="109">
        <f>SUM('1:31'!T15)</f>
        <v>0</v>
      </c>
    </row>
    <row r="16" spans="1:20" ht="25.5" customHeight="1" x14ac:dyDescent="0.25">
      <c r="A16" s="106"/>
      <c r="B16" s="107"/>
      <c r="C16" s="107"/>
      <c r="D16" s="107">
        <f>SUM('1:31'!D16)</f>
        <v>0</v>
      </c>
      <c r="E16" s="107"/>
      <c r="F16" s="107">
        <f>SUM('1:31'!F16)</f>
        <v>4200</v>
      </c>
      <c r="G16" s="107">
        <f>SUM('1:31'!G16)</f>
        <v>4200</v>
      </c>
      <c r="H16" s="108">
        <f>SUM('1:31'!H16)</f>
        <v>0</v>
      </c>
      <c r="I16" s="109">
        <f>SUM('1:31'!I16)</f>
        <v>0</v>
      </c>
      <c r="J16" s="109">
        <f>SUM('1:31'!J16)</f>
        <v>0</v>
      </c>
      <c r="K16" s="109">
        <f>SUM('1:31'!K16)</f>
        <v>0</v>
      </c>
      <c r="L16" s="109">
        <f>SUM('1:31'!L16)</f>
        <v>0</v>
      </c>
      <c r="M16" s="109">
        <f>SUM('1:31'!M16)</f>
        <v>0</v>
      </c>
      <c r="N16" s="109">
        <f>SUM('1:31'!N16)</f>
        <v>0</v>
      </c>
      <c r="O16" s="109">
        <f>SUM('1:31'!O16)</f>
        <v>0</v>
      </c>
      <c r="P16" s="109">
        <f>SUM('1:31'!P16)</f>
        <v>0</v>
      </c>
      <c r="Q16" s="109">
        <f>SUM('1:31'!Q16)</f>
        <v>0</v>
      </c>
      <c r="R16" s="109">
        <f>SUM('1:31'!R16)</f>
        <v>0</v>
      </c>
      <c r="S16" s="109">
        <f>SUM('1:31'!S16)</f>
        <v>0</v>
      </c>
      <c r="T16" s="109">
        <f>SUM('1:31'!T16)</f>
        <v>0</v>
      </c>
    </row>
    <row r="17" spans="1:20" ht="25.5" customHeight="1" x14ac:dyDescent="0.25">
      <c r="A17" s="106"/>
      <c r="B17" s="107"/>
      <c r="C17" s="107"/>
      <c r="D17" s="107">
        <f>SUM('1:31'!D17)</f>
        <v>0</v>
      </c>
      <c r="E17" s="107"/>
      <c r="F17" s="107">
        <f>SUM('1:31'!F17)</f>
        <v>4110</v>
      </c>
      <c r="G17" s="107">
        <f>SUM('1:31'!G17)</f>
        <v>3610</v>
      </c>
      <c r="H17" s="108">
        <f>SUM('1:31'!H17)</f>
        <v>0</v>
      </c>
      <c r="I17" s="109">
        <f>SUM('1:31'!I17)</f>
        <v>0</v>
      </c>
      <c r="J17" s="109">
        <f>SUM('1:31'!J17)</f>
        <v>0</v>
      </c>
      <c r="K17" s="109">
        <f>SUM('1:31'!K17)</f>
        <v>0</v>
      </c>
      <c r="L17" s="109">
        <f>SUM('1:31'!L17)</f>
        <v>0</v>
      </c>
      <c r="M17" s="109">
        <f>SUM('1:31'!M17)</f>
        <v>0</v>
      </c>
      <c r="N17" s="109">
        <f>SUM('1:31'!N17)</f>
        <v>0</v>
      </c>
      <c r="O17" s="109">
        <f>SUM('1:31'!O17)</f>
        <v>0</v>
      </c>
      <c r="P17" s="109">
        <f>SUM('1:31'!P17)</f>
        <v>0</v>
      </c>
      <c r="Q17" s="109">
        <f>SUM('1:31'!Q17)</f>
        <v>0</v>
      </c>
      <c r="R17" s="109">
        <f>SUM('1:31'!R17)</f>
        <v>0</v>
      </c>
      <c r="S17" s="109">
        <f>SUM('1:31'!S17)</f>
        <v>0</v>
      </c>
      <c r="T17" s="109">
        <f>SUM('1:31'!T17)</f>
        <v>500</v>
      </c>
    </row>
    <row r="18" spans="1:20" ht="25.5" customHeight="1" x14ac:dyDescent="0.25">
      <c r="A18" s="106"/>
      <c r="B18" s="107"/>
      <c r="C18" s="107"/>
      <c r="D18" s="107">
        <f>SUM('1:31'!D18)</f>
        <v>0</v>
      </c>
      <c r="E18" s="107"/>
      <c r="F18" s="107">
        <f>SUM('1:31'!F18)</f>
        <v>3580</v>
      </c>
      <c r="G18" s="107">
        <f>SUM('1:31'!G18)</f>
        <v>3490</v>
      </c>
      <c r="H18" s="108">
        <f>SUM('1:31'!H18)</f>
        <v>0</v>
      </c>
      <c r="I18" s="109">
        <f>SUM('1:31'!I18)</f>
        <v>0</v>
      </c>
      <c r="J18" s="109">
        <f>SUM('1:31'!J18)</f>
        <v>0</v>
      </c>
      <c r="K18" s="109">
        <f>SUM('1:31'!K18)</f>
        <v>0</v>
      </c>
      <c r="L18" s="109">
        <f>SUM('1:31'!L18)</f>
        <v>90</v>
      </c>
      <c r="M18" s="109">
        <f>SUM('1:31'!M18)</f>
        <v>0</v>
      </c>
      <c r="N18" s="109">
        <f>SUM('1:31'!N18)</f>
        <v>0</v>
      </c>
      <c r="O18" s="109">
        <f>SUM('1:31'!O18)</f>
        <v>0</v>
      </c>
      <c r="P18" s="109">
        <f>SUM('1:31'!P18)</f>
        <v>0</v>
      </c>
      <c r="Q18" s="109">
        <f>SUM('1:31'!Q18)</f>
        <v>0</v>
      </c>
      <c r="R18" s="109">
        <f>SUM('1:31'!R18)</f>
        <v>0</v>
      </c>
      <c r="S18" s="109">
        <f>SUM('1:31'!S18)</f>
        <v>0</v>
      </c>
      <c r="T18" s="109">
        <f>SUM('1:31'!T18)</f>
        <v>0</v>
      </c>
    </row>
    <row r="19" spans="1:20" ht="25.5" customHeight="1" x14ac:dyDescent="0.25">
      <c r="A19" s="106"/>
      <c r="B19" s="107"/>
      <c r="C19" s="107"/>
      <c r="D19" s="107">
        <f>SUM('1:31'!D19)</f>
        <v>0</v>
      </c>
      <c r="E19" s="107"/>
      <c r="F19" s="107">
        <f>SUM('1:31'!F19)</f>
        <v>2864</v>
      </c>
      <c r="G19" s="107">
        <f>SUM('1:31'!G19)</f>
        <v>2740</v>
      </c>
      <c r="H19" s="108">
        <f>SUM('1:31'!H19)</f>
        <v>14</v>
      </c>
      <c r="I19" s="109">
        <f>SUM('1:31'!I19)</f>
        <v>0</v>
      </c>
      <c r="J19" s="109">
        <f>SUM('1:31'!J19)</f>
        <v>0</v>
      </c>
      <c r="K19" s="109">
        <f>SUM('1:31'!K19)</f>
        <v>0</v>
      </c>
      <c r="L19" s="109">
        <f>SUM('1:31'!L19)</f>
        <v>90</v>
      </c>
      <c r="M19" s="109">
        <f>SUM('1:31'!M19)</f>
        <v>20</v>
      </c>
      <c r="N19" s="109">
        <f>SUM('1:31'!N19)</f>
        <v>0</v>
      </c>
      <c r="O19" s="109">
        <f>SUM('1:31'!O19)</f>
        <v>0</v>
      </c>
      <c r="P19" s="109">
        <f>SUM('1:31'!P19)</f>
        <v>0</v>
      </c>
      <c r="Q19" s="109">
        <f>SUM('1:31'!Q19)</f>
        <v>0</v>
      </c>
      <c r="R19" s="109">
        <f>SUM('1:31'!R19)</f>
        <v>0</v>
      </c>
      <c r="S19" s="109">
        <f>SUM('1:31'!S19)</f>
        <v>0</v>
      </c>
      <c r="T19" s="109">
        <f>SUM('1:31'!T19)</f>
        <v>0</v>
      </c>
    </row>
    <row r="20" spans="1:20" ht="25.5" customHeight="1" x14ac:dyDescent="0.25">
      <c r="A20" s="106"/>
      <c r="B20" s="107"/>
      <c r="C20" s="107"/>
      <c r="D20" s="107">
        <f>SUM('1:31'!D20)</f>
        <v>0</v>
      </c>
      <c r="E20" s="107"/>
      <c r="F20" s="107">
        <f>SUM('1:31'!F20)</f>
        <v>2270</v>
      </c>
      <c r="G20" s="107">
        <f>SUM('1:31'!G20)</f>
        <v>2260</v>
      </c>
      <c r="H20" s="108">
        <f>SUM('1:31'!H20)</f>
        <v>0</v>
      </c>
      <c r="I20" s="109">
        <f>SUM('1:31'!I20)</f>
        <v>0</v>
      </c>
      <c r="J20" s="109">
        <f>SUM('1:31'!J20)</f>
        <v>0</v>
      </c>
      <c r="K20" s="109">
        <f>SUM('1:31'!K20)</f>
        <v>0</v>
      </c>
      <c r="L20" s="109">
        <f>SUM('1:31'!L20)</f>
        <v>0</v>
      </c>
      <c r="M20" s="109">
        <f>SUM('1:31'!M20)</f>
        <v>10</v>
      </c>
      <c r="N20" s="109">
        <f>SUM('1:31'!N20)</f>
        <v>0</v>
      </c>
      <c r="O20" s="109">
        <f>SUM('1:31'!O20)</f>
        <v>0</v>
      </c>
      <c r="P20" s="109">
        <f>SUM('1:31'!P20)</f>
        <v>0</v>
      </c>
      <c r="Q20" s="109">
        <f>SUM('1:31'!Q20)</f>
        <v>0</v>
      </c>
      <c r="R20" s="109">
        <f>SUM('1:31'!R20)</f>
        <v>0</v>
      </c>
      <c r="S20" s="109">
        <f>SUM('1:31'!S20)</f>
        <v>0</v>
      </c>
      <c r="T20" s="109">
        <f>SUM('1:31'!T20)</f>
        <v>0</v>
      </c>
    </row>
    <row r="21" spans="1:20" ht="25.5" customHeight="1" x14ac:dyDescent="0.25">
      <c r="A21" s="106"/>
      <c r="B21" s="107"/>
      <c r="C21" s="107"/>
      <c r="D21" s="107">
        <f>SUM('1:31'!D21)</f>
        <v>0</v>
      </c>
      <c r="E21" s="107"/>
      <c r="F21" s="107">
        <f>SUM('1:31'!F21)</f>
        <v>2415</v>
      </c>
      <c r="G21" s="107">
        <f>SUM('1:31'!G21)</f>
        <v>2000</v>
      </c>
      <c r="H21" s="108">
        <f>SUM('1:31'!H21)</f>
        <v>0</v>
      </c>
      <c r="I21" s="109">
        <f>SUM('1:31'!I21)</f>
        <v>0</v>
      </c>
      <c r="J21" s="109">
        <f>SUM('1:31'!J21)</f>
        <v>0</v>
      </c>
      <c r="K21" s="109">
        <f>SUM('1:31'!K21)</f>
        <v>0</v>
      </c>
      <c r="L21" s="109">
        <f>SUM('1:31'!L21)</f>
        <v>0</v>
      </c>
      <c r="M21" s="109">
        <f>SUM('1:31'!M21)</f>
        <v>0</v>
      </c>
      <c r="N21" s="109">
        <f>SUM('1:31'!N21)</f>
        <v>0</v>
      </c>
      <c r="O21" s="109">
        <f>SUM('1:31'!O21)</f>
        <v>0</v>
      </c>
      <c r="P21" s="109">
        <f>SUM('1:31'!P21)</f>
        <v>10</v>
      </c>
      <c r="Q21" s="109">
        <f>SUM('1:31'!Q21)</f>
        <v>0</v>
      </c>
      <c r="R21" s="109">
        <f>SUM('1:31'!R21)</f>
        <v>0</v>
      </c>
      <c r="S21" s="109">
        <f>SUM('1:31'!S21)</f>
        <v>0</v>
      </c>
      <c r="T21" s="109">
        <f>SUM('1:31'!T21)</f>
        <v>425</v>
      </c>
    </row>
    <row r="22" spans="1:20" ht="25.5" customHeight="1" x14ac:dyDescent="0.25">
      <c r="A22" s="106"/>
      <c r="B22" s="107"/>
      <c r="C22" s="107"/>
      <c r="D22" s="107">
        <f>SUM('1:31'!D22)</f>
        <v>0</v>
      </c>
      <c r="E22" s="107"/>
      <c r="F22" s="107">
        <f>SUM('1:31'!F22)</f>
        <v>1130</v>
      </c>
      <c r="G22" s="107">
        <f>SUM('1:31'!G22)</f>
        <v>1130</v>
      </c>
      <c r="H22" s="108">
        <f>SUM('1:31'!H22)</f>
        <v>0</v>
      </c>
      <c r="I22" s="109">
        <f>SUM('1:31'!I22)</f>
        <v>0</v>
      </c>
      <c r="J22" s="109">
        <f>SUM('1:31'!J22)</f>
        <v>0</v>
      </c>
      <c r="K22" s="109">
        <f>SUM('1:31'!K22)</f>
        <v>0</v>
      </c>
      <c r="L22" s="109">
        <f>SUM('1:31'!L22)</f>
        <v>0</v>
      </c>
      <c r="M22" s="109">
        <f>SUM('1:31'!M22)</f>
        <v>0</v>
      </c>
      <c r="N22" s="109">
        <f>SUM('1:31'!N22)</f>
        <v>0</v>
      </c>
      <c r="O22" s="109">
        <f>SUM('1:31'!O22)</f>
        <v>0</v>
      </c>
      <c r="P22" s="109">
        <f>SUM('1:31'!P22)</f>
        <v>0</v>
      </c>
      <c r="Q22" s="109">
        <f>SUM('1:31'!Q22)</f>
        <v>0</v>
      </c>
      <c r="R22" s="109">
        <f>SUM('1:31'!R22)</f>
        <v>0</v>
      </c>
      <c r="S22" s="109">
        <f>SUM('1:31'!S22)</f>
        <v>0</v>
      </c>
      <c r="T22" s="109">
        <f>SUM('1:31'!T22)</f>
        <v>0</v>
      </c>
    </row>
    <row r="23" spans="1:20" ht="25.5" customHeight="1" x14ac:dyDescent="0.25">
      <c r="A23" s="106"/>
      <c r="B23" s="107"/>
      <c r="C23" s="107"/>
      <c r="D23" s="107">
        <f>SUM('1:31'!D23)</f>
        <v>0</v>
      </c>
      <c r="E23" s="107"/>
      <c r="F23" s="107">
        <f>SUM('1:31'!F23)</f>
        <v>1290</v>
      </c>
      <c r="G23" s="107">
        <f>SUM('1:31'!G23)</f>
        <v>1290</v>
      </c>
      <c r="H23" s="108">
        <f>SUM('1:31'!H23)</f>
        <v>0</v>
      </c>
      <c r="I23" s="109">
        <f>SUM('1:31'!I23)</f>
        <v>0</v>
      </c>
      <c r="J23" s="109">
        <f>SUM('1:31'!J23)</f>
        <v>0</v>
      </c>
      <c r="K23" s="109">
        <f>SUM('1:31'!K23)</f>
        <v>0</v>
      </c>
      <c r="L23" s="109">
        <f>SUM('1:31'!L23)</f>
        <v>0</v>
      </c>
      <c r="M23" s="109">
        <f>SUM('1:31'!M23)</f>
        <v>0</v>
      </c>
      <c r="N23" s="109">
        <f>SUM('1:31'!N23)</f>
        <v>0</v>
      </c>
      <c r="O23" s="109">
        <f>SUM('1:31'!O23)</f>
        <v>0</v>
      </c>
      <c r="P23" s="109">
        <f>SUM('1:31'!P23)</f>
        <v>0</v>
      </c>
      <c r="Q23" s="109">
        <f>SUM('1:31'!Q23)</f>
        <v>0</v>
      </c>
      <c r="R23" s="109">
        <f>SUM('1:31'!R23)</f>
        <v>0</v>
      </c>
      <c r="S23" s="109">
        <f>SUM('1:31'!S23)</f>
        <v>0</v>
      </c>
      <c r="T23" s="109">
        <f>SUM('1:31'!T23)</f>
        <v>0</v>
      </c>
    </row>
    <row r="24" spans="1:20" ht="25.5" customHeight="1" x14ac:dyDescent="0.25">
      <c r="A24" s="106"/>
      <c r="B24" s="107"/>
      <c r="C24" s="107"/>
      <c r="D24" s="107">
        <f>SUM('1:31'!D24)</f>
        <v>0</v>
      </c>
      <c r="E24" s="107"/>
      <c r="F24" s="107">
        <f>SUM('1:31'!F24)</f>
        <v>700</v>
      </c>
      <c r="G24" s="107">
        <f>SUM('1:31'!G24)</f>
        <v>670</v>
      </c>
      <c r="H24" s="108">
        <f>SUM('1:31'!H24)</f>
        <v>0</v>
      </c>
      <c r="I24" s="109">
        <f>SUM('1:31'!I24)</f>
        <v>0</v>
      </c>
      <c r="J24" s="109">
        <f>SUM('1:31'!J24)</f>
        <v>0</v>
      </c>
      <c r="K24" s="109">
        <f>SUM('1:31'!K24)</f>
        <v>0</v>
      </c>
      <c r="L24" s="109">
        <f>SUM('1:31'!L24)</f>
        <v>0</v>
      </c>
      <c r="M24" s="109">
        <f>SUM('1:31'!M24)</f>
        <v>0</v>
      </c>
      <c r="N24" s="109">
        <f>SUM('1:31'!N24)</f>
        <v>30</v>
      </c>
      <c r="O24" s="109">
        <f>SUM('1:31'!O24)</f>
        <v>0</v>
      </c>
      <c r="P24" s="109">
        <f>SUM('1:31'!P24)</f>
        <v>0</v>
      </c>
      <c r="Q24" s="109">
        <f>SUM('1:31'!Q24)</f>
        <v>0</v>
      </c>
      <c r="R24" s="109">
        <f>SUM('1:31'!R24)</f>
        <v>0</v>
      </c>
      <c r="S24" s="109">
        <f>SUM('1:31'!S24)</f>
        <v>0</v>
      </c>
      <c r="T24" s="109">
        <f>SUM('1:31'!T24)</f>
        <v>0</v>
      </c>
    </row>
    <row r="25" spans="1:20" ht="25.5" customHeight="1" x14ac:dyDescent="0.25">
      <c r="A25" s="106"/>
      <c r="B25" s="107"/>
      <c r="C25" s="107"/>
      <c r="D25" s="107">
        <f>SUM('1:31'!D25)</f>
        <v>0</v>
      </c>
      <c r="E25" s="107"/>
      <c r="F25" s="107">
        <f>SUM('1:31'!F25)</f>
        <v>410</v>
      </c>
      <c r="G25" s="107">
        <f>SUM('1:31'!G25)</f>
        <v>410</v>
      </c>
      <c r="H25" s="108">
        <f>SUM('1:31'!H25)</f>
        <v>0</v>
      </c>
      <c r="I25" s="109">
        <f>SUM('1:31'!I25)</f>
        <v>0</v>
      </c>
      <c r="J25" s="109">
        <f>SUM('1:31'!J25)</f>
        <v>0</v>
      </c>
      <c r="K25" s="109">
        <f>SUM('1:31'!K25)</f>
        <v>0</v>
      </c>
      <c r="L25" s="109">
        <f>SUM('1:31'!L25)</f>
        <v>0</v>
      </c>
      <c r="M25" s="109">
        <f>SUM('1:31'!M25)</f>
        <v>0</v>
      </c>
      <c r="N25" s="109">
        <f>SUM('1:31'!N25)</f>
        <v>0</v>
      </c>
      <c r="O25" s="109">
        <f>SUM('1:31'!O25)</f>
        <v>0</v>
      </c>
      <c r="P25" s="109">
        <f>SUM('1:31'!P25)</f>
        <v>0</v>
      </c>
      <c r="Q25" s="109">
        <f>SUM('1:31'!Q25)</f>
        <v>0</v>
      </c>
      <c r="R25" s="109">
        <f>SUM('1:31'!R25)</f>
        <v>0</v>
      </c>
      <c r="S25" s="109">
        <f>SUM('1:31'!S25)</f>
        <v>0</v>
      </c>
      <c r="T25" s="109">
        <f>SUM('1:31'!T25)</f>
        <v>0</v>
      </c>
    </row>
    <row r="26" spans="1:20" ht="25.5" customHeight="1" x14ac:dyDescent="0.25">
      <c r="A26" s="106"/>
      <c r="B26" s="107"/>
      <c r="C26" s="107"/>
      <c r="D26" s="107">
        <f>SUM('1:31'!D26)</f>
        <v>0</v>
      </c>
      <c r="E26" s="107"/>
      <c r="F26" s="107">
        <f>SUM('1:31'!F26)</f>
        <v>100</v>
      </c>
      <c r="G26" s="107">
        <f>SUM('1:31'!G26)</f>
        <v>100</v>
      </c>
      <c r="H26" s="108">
        <f>SUM('1:31'!H26)</f>
        <v>0</v>
      </c>
      <c r="I26" s="109">
        <f>SUM('1:31'!I26)</f>
        <v>0</v>
      </c>
      <c r="J26" s="109">
        <f>SUM('1:31'!J26)</f>
        <v>0</v>
      </c>
      <c r="K26" s="109">
        <f>SUM('1:31'!K26)</f>
        <v>0</v>
      </c>
      <c r="L26" s="109">
        <f>SUM('1:31'!L26)</f>
        <v>0</v>
      </c>
      <c r="M26" s="109">
        <f>SUM('1:31'!M26)</f>
        <v>0</v>
      </c>
      <c r="N26" s="109">
        <f>SUM('1:31'!N26)</f>
        <v>0</v>
      </c>
      <c r="O26" s="109">
        <f>SUM('1:31'!O26)</f>
        <v>0</v>
      </c>
      <c r="P26" s="109">
        <f>SUM('1:31'!P26)</f>
        <v>0</v>
      </c>
      <c r="Q26" s="109">
        <f>SUM('1:31'!Q26)</f>
        <v>0</v>
      </c>
      <c r="R26" s="109">
        <f>SUM('1:31'!R26)</f>
        <v>0</v>
      </c>
      <c r="S26" s="109">
        <f>SUM('1:31'!S26)</f>
        <v>0</v>
      </c>
      <c r="T26" s="109">
        <f>SUM('1:31'!T26)</f>
        <v>0</v>
      </c>
    </row>
    <row r="27" spans="1:20" ht="25.5" customHeight="1" x14ac:dyDescent="0.25">
      <c r="A27" s="106"/>
      <c r="B27" s="107"/>
      <c r="C27" s="107"/>
      <c r="D27" s="107">
        <f>SUM('1:31'!D27)</f>
        <v>0</v>
      </c>
      <c r="E27" s="107"/>
      <c r="F27" s="107">
        <f>SUM('1:31'!F27)</f>
        <v>250</v>
      </c>
      <c r="G27" s="107">
        <f>SUM('1:31'!G27)</f>
        <v>250</v>
      </c>
      <c r="H27" s="108">
        <f>SUM('1:31'!H27)</f>
        <v>0</v>
      </c>
      <c r="I27" s="109">
        <f>SUM('1:31'!I27)</f>
        <v>0</v>
      </c>
      <c r="J27" s="109">
        <f>SUM('1:31'!J27)</f>
        <v>0</v>
      </c>
      <c r="K27" s="109">
        <f>SUM('1:31'!K27)</f>
        <v>0</v>
      </c>
      <c r="L27" s="109">
        <f>SUM('1:31'!L27)</f>
        <v>0</v>
      </c>
      <c r="M27" s="109">
        <f>SUM('1:31'!M27)</f>
        <v>0</v>
      </c>
      <c r="N27" s="109">
        <f>SUM('1:31'!N27)</f>
        <v>0</v>
      </c>
      <c r="O27" s="109">
        <f>SUM('1:31'!O27)</f>
        <v>0</v>
      </c>
      <c r="P27" s="109">
        <f>SUM('1:31'!P27)</f>
        <v>0</v>
      </c>
      <c r="Q27" s="109">
        <f>SUM('1:31'!Q27)</f>
        <v>0</v>
      </c>
      <c r="R27" s="109">
        <f>SUM('1:31'!R27)</f>
        <v>0</v>
      </c>
      <c r="S27" s="109">
        <f>SUM('1:31'!S27)</f>
        <v>0</v>
      </c>
      <c r="T27" s="109">
        <f>SUM('1:31'!T27)</f>
        <v>0</v>
      </c>
    </row>
    <row r="28" spans="1:20" ht="25.5" customHeight="1" x14ac:dyDescent="0.25">
      <c r="A28" s="106"/>
      <c r="B28" s="107"/>
      <c r="C28" s="107"/>
      <c r="D28" s="107">
        <f>SUM('1:31'!D28)</f>
        <v>0</v>
      </c>
      <c r="E28" s="107"/>
      <c r="F28" s="107">
        <f>SUM('1:31'!F28)</f>
        <v>120</v>
      </c>
      <c r="G28" s="107">
        <f>SUM('1:31'!G28)</f>
        <v>120</v>
      </c>
      <c r="H28" s="108">
        <f>SUM('1:31'!H28)</f>
        <v>0</v>
      </c>
      <c r="I28" s="109">
        <f>SUM('1:31'!I28)</f>
        <v>0</v>
      </c>
      <c r="J28" s="109">
        <f>SUM('1:31'!J28)</f>
        <v>0</v>
      </c>
      <c r="K28" s="109">
        <f>SUM('1:31'!K28)</f>
        <v>0</v>
      </c>
      <c r="L28" s="109">
        <f>SUM('1:31'!L28)</f>
        <v>0</v>
      </c>
      <c r="M28" s="109">
        <f>SUM('1:31'!M28)</f>
        <v>0</v>
      </c>
      <c r="N28" s="109">
        <f>SUM('1:31'!N28)</f>
        <v>0</v>
      </c>
      <c r="O28" s="109">
        <f>SUM('1:31'!O28)</f>
        <v>0</v>
      </c>
      <c r="P28" s="109">
        <f>SUM('1:31'!P28)</f>
        <v>0</v>
      </c>
      <c r="Q28" s="109">
        <f>SUM('1:31'!Q28)</f>
        <v>0</v>
      </c>
      <c r="R28" s="109">
        <f>SUM('1:31'!R28)</f>
        <v>0</v>
      </c>
      <c r="S28" s="109">
        <f>SUM('1:31'!S28)</f>
        <v>0</v>
      </c>
      <c r="T28" s="109">
        <f>SUM('1:31'!T28)</f>
        <v>0</v>
      </c>
    </row>
    <row r="29" spans="1:20" ht="25.5" customHeight="1" x14ac:dyDescent="0.25">
      <c r="A29" s="106"/>
      <c r="B29" s="107"/>
      <c r="C29" s="107"/>
      <c r="D29" s="107">
        <f>SUM('1:31'!D29)</f>
        <v>0</v>
      </c>
      <c r="E29" s="107"/>
      <c r="F29" s="107">
        <f>SUM('1:31'!F29)</f>
        <v>0</v>
      </c>
      <c r="G29" s="107">
        <f>SUM('1:31'!G29)</f>
        <v>0</v>
      </c>
      <c r="H29" s="108">
        <f>SUM('1:31'!H29)</f>
        <v>0</v>
      </c>
      <c r="I29" s="109">
        <f>SUM('1:31'!I29)</f>
        <v>0</v>
      </c>
      <c r="J29" s="109">
        <f>SUM('1:31'!J29)</f>
        <v>0</v>
      </c>
      <c r="K29" s="109">
        <f>SUM('1:31'!K29)</f>
        <v>0</v>
      </c>
      <c r="L29" s="109">
        <f>SUM('1:31'!L29)</f>
        <v>0</v>
      </c>
      <c r="M29" s="109">
        <f>SUM('1:31'!M29)</f>
        <v>0</v>
      </c>
      <c r="N29" s="109">
        <f>SUM('1:31'!N29)</f>
        <v>0</v>
      </c>
      <c r="O29" s="109">
        <f>SUM('1:31'!O29)</f>
        <v>0</v>
      </c>
      <c r="P29" s="109">
        <f>SUM('1:31'!P29)</f>
        <v>0</v>
      </c>
      <c r="Q29" s="109">
        <f>SUM('1:31'!Q29)</f>
        <v>0</v>
      </c>
      <c r="R29" s="109">
        <f>SUM('1:31'!R29)</f>
        <v>0</v>
      </c>
      <c r="S29" s="109">
        <f>SUM('1:31'!S29)</f>
        <v>0</v>
      </c>
      <c r="T29" s="109">
        <f>SUM('1:31'!T29)</f>
        <v>0</v>
      </c>
    </row>
    <row r="30" spans="1:20" ht="25.5" customHeight="1" x14ac:dyDescent="0.25">
      <c r="A30" s="106"/>
      <c r="B30" s="107"/>
      <c r="C30" s="107"/>
      <c r="D30" s="107">
        <f>SUM('1:31'!D30)</f>
        <v>0</v>
      </c>
      <c r="E30" s="107"/>
      <c r="F30" s="107">
        <f>SUM('1:31'!F30)</f>
        <v>0</v>
      </c>
      <c r="G30" s="107">
        <f>SUM('1:31'!G30)</f>
        <v>0</v>
      </c>
      <c r="H30" s="108">
        <f>SUM('1:31'!H30)</f>
        <v>0</v>
      </c>
      <c r="I30" s="109">
        <f>SUM('1:31'!I30)</f>
        <v>0</v>
      </c>
      <c r="J30" s="109">
        <f>SUM('1:31'!J30)</f>
        <v>0</v>
      </c>
      <c r="K30" s="109">
        <f>SUM('1:31'!K30)</f>
        <v>0</v>
      </c>
      <c r="L30" s="109">
        <f>SUM('1:31'!L30)</f>
        <v>0</v>
      </c>
      <c r="M30" s="109">
        <f>SUM('1:31'!M30)</f>
        <v>0</v>
      </c>
      <c r="N30" s="109">
        <f>SUM('1:31'!N30)</f>
        <v>0</v>
      </c>
      <c r="O30" s="109">
        <f>SUM('1:31'!O30)</f>
        <v>0</v>
      </c>
      <c r="P30" s="109">
        <f>SUM('1:31'!P30)</f>
        <v>0</v>
      </c>
      <c r="Q30" s="109">
        <f>SUM('1:31'!Q30)</f>
        <v>0</v>
      </c>
      <c r="R30" s="109">
        <f>SUM('1:31'!R30)</f>
        <v>0</v>
      </c>
      <c r="S30" s="109">
        <f>SUM('1:31'!S30)</f>
        <v>0</v>
      </c>
      <c r="T30" s="109">
        <f>SUM('1:31'!T30)</f>
        <v>0</v>
      </c>
    </row>
    <row r="31" spans="1:20" ht="25.5" customHeight="1" x14ac:dyDescent="0.25">
      <c r="A31" s="106"/>
      <c r="B31" s="107"/>
      <c r="C31" s="107"/>
      <c r="D31" s="107">
        <f>SUM('1:31'!D31)</f>
        <v>0</v>
      </c>
      <c r="E31" s="107"/>
      <c r="F31" s="107">
        <f>SUM('1:31'!F31)</f>
        <v>0</v>
      </c>
      <c r="G31" s="107">
        <f>SUM('1:31'!G31)</f>
        <v>0</v>
      </c>
      <c r="H31" s="108">
        <f>SUM('1:31'!H31)</f>
        <v>0</v>
      </c>
      <c r="I31" s="109">
        <f>SUM('1:31'!I31)</f>
        <v>0</v>
      </c>
      <c r="J31" s="109">
        <f>SUM('1:31'!J31)</f>
        <v>0</v>
      </c>
      <c r="K31" s="109">
        <f>SUM('1:31'!K31)</f>
        <v>0</v>
      </c>
      <c r="L31" s="109">
        <f>SUM('1:31'!L31)</f>
        <v>0</v>
      </c>
      <c r="M31" s="109">
        <f>SUM('1:31'!M31)</f>
        <v>0</v>
      </c>
      <c r="N31" s="109">
        <f>SUM('1:31'!N31)</f>
        <v>0</v>
      </c>
      <c r="O31" s="109">
        <f>SUM('1:31'!O31)</f>
        <v>0</v>
      </c>
      <c r="P31" s="109">
        <f>SUM('1:31'!P31)</f>
        <v>0</v>
      </c>
      <c r="Q31" s="109">
        <f>SUM('1:31'!Q31)</f>
        <v>0</v>
      </c>
      <c r="R31" s="109">
        <f>SUM('1:31'!R31)</f>
        <v>0</v>
      </c>
      <c r="S31" s="109">
        <f>SUM('1:31'!S31)</f>
        <v>0</v>
      </c>
      <c r="T31" s="109">
        <f>SUM('1:31'!T31)</f>
        <v>0</v>
      </c>
    </row>
    <row r="32" spans="1:20" ht="25.5" customHeight="1" x14ac:dyDescent="0.25">
      <c r="A32" s="106"/>
      <c r="B32" s="107"/>
      <c r="C32" s="107"/>
      <c r="D32" s="107">
        <f>SUM('1:31'!D32)</f>
        <v>0</v>
      </c>
      <c r="E32" s="107"/>
      <c r="F32" s="107">
        <f>SUM('1:31'!F32)</f>
        <v>0</v>
      </c>
      <c r="G32" s="107">
        <f>SUM('1:31'!G32)</f>
        <v>0</v>
      </c>
      <c r="H32" s="108">
        <f>SUM('1:31'!H32)</f>
        <v>0</v>
      </c>
      <c r="I32" s="109">
        <f>SUM('1:31'!I32)</f>
        <v>0</v>
      </c>
      <c r="J32" s="109">
        <f>SUM('1:31'!J32)</f>
        <v>0</v>
      </c>
      <c r="K32" s="109">
        <f>SUM('1:31'!K32)</f>
        <v>0</v>
      </c>
      <c r="L32" s="109">
        <f>SUM('1:31'!L32)</f>
        <v>0</v>
      </c>
      <c r="M32" s="109">
        <f>SUM('1:31'!M32)</f>
        <v>0</v>
      </c>
      <c r="N32" s="109">
        <f>SUM('1:31'!N32)</f>
        <v>0</v>
      </c>
      <c r="O32" s="109">
        <f>SUM('1:31'!O32)</f>
        <v>0</v>
      </c>
      <c r="P32" s="109">
        <f>SUM('1:31'!P32)</f>
        <v>0</v>
      </c>
      <c r="Q32" s="109">
        <f>SUM('1:31'!Q32)</f>
        <v>0</v>
      </c>
      <c r="R32" s="109">
        <f>SUM('1:31'!R32)</f>
        <v>0</v>
      </c>
      <c r="S32" s="109">
        <f>SUM('1:31'!S32)</f>
        <v>0</v>
      </c>
      <c r="T32" s="109">
        <f>SUM('1:31'!T32)</f>
        <v>0</v>
      </c>
    </row>
    <row r="33" spans="1:20" ht="25.5" customHeight="1" x14ac:dyDescent="0.25">
      <c r="A33" s="106"/>
      <c r="B33" s="107"/>
      <c r="C33" s="107"/>
      <c r="D33" s="107">
        <f>SUM('1:31'!D33)</f>
        <v>0</v>
      </c>
      <c r="E33" s="107"/>
      <c r="F33" s="107">
        <f>SUM('1:31'!F33)</f>
        <v>0</v>
      </c>
      <c r="G33" s="107">
        <f>SUM('1:31'!G33)</f>
        <v>0</v>
      </c>
      <c r="H33" s="108">
        <f>SUM('1:31'!H33)</f>
        <v>0</v>
      </c>
      <c r="I33" s="109">
        <f>SUM('1:31'!I33)</f>
        <v>0</v>
      </c>
      <c r="J33" s="109">
        <f>SUM('1:31'!J33)</f>
        <v>0</v>
      </c>
      <c r="K33" s="109">
        <f>SUM('1:31'!K33)</f>
        <v>0</v>
      </c>
      <c r="L33" s="109">
        <f>SUM('1:31'!L33)</f>
        <v>0</v>
      </c>
      <c r="M33" s="109">
        <f>SUM('1:31'!M33)</f>
        <v>0</v>
      </c>
      <c r="N33" s="109">
        <f>SUM('1:31'!N33)</f>
        <v>0</v>
      </c>
      <c r="O33" s="109">
        <f>SUM('1:31'!O33)</f>
        <v>0</v>
      </c>
      <c r="P33" s="109">
        <f>SUM('1:31'!P33)</f>
        <v>0</v>
      </c>
      <c r="Q33" s="109">
        <f>SUM('1:31'!Q33)</f>
        <v>0</v>
      </c>
      <c r="R33" s="109">
        <f>SUM('1:31'!R33)</f>
        <v>0</v>
      </c>
      <c r="S33" s="109">
        <f>SUM('1:31'!S33)</f>
        <v>0</v>
      </c>
      <c r="T33" s="109">
        <f>SUM('1:31'!T33)</f>
        <v>0</v>
      </c>
    </row>
    <row r="34" spans="1:20" ht="25.5" customHeight="1" x14ac:dyDescent="0.25">
      <c r="A34" s="106"/>
      <c r="B34" s="107"/>
      <c r="C34" s="107"/>
      <c r="D34" s="107">
        <f>SUM('1:31'!D34)</f>
        <v>0</v>
      </c>
      <c r="E34" s="107"/>
      <c r="F34" s="107">
        <f>SUM('1:31'!F34)</f>
        <v>0</v>
      </c>
      <c r="G34" s="107">
        <f>SUM('1:31'!G34)</f>
        <v>0</v>
      </c>
      <c r="H34" s="108">
        <f>SUM('1:31'!H34)</f>
        <v>0</v>
      </c>
      <c r="I34" s="109">
        <f>SUM('1:31'!I34)</f>
        <v>0</v>
      </c>
      <c r="J34" s="109">
        <f>SUM('1:31'!J34)</f>
        <v>0</v>
      </c>
      <c r="K34" s="109">
        <f>SUM('1:31'!K34)</f>
        <v>0</v>
      </c>
      <c r="L34" s="109">
        <f>SUM('1:31'!L34)</f>
        <v>0</v>
      </c>
      <c r="M34" s="109">
        <f>SUM('1:31'!M34)</f>
        <v>0</v>
      </c>
      <c r="N34" s="109">
        <f>SUM('1:31'!N34)</f>
        <v>0</v>
      </c>
      <c r="O34" s="109">
        <f>SUM('1:31'!O34)</f>
        <v>0</v>
      </c>
      <c r="P34" s="109">
        <f>SUM('1:31'!P34)</f>
        <v>0</v>
      </c>
      <c r="Q34" s="109">
        <f>SUM('1:31'!Q34)</f>
        <v>0</v>
      </c>
      <c r="R34" s="109">
        <f>SUM('1:31'!R34)</f>
        <v>0</v>
      </c>
      <c r="S34" s="109">
        <f>SUM('1:31'!S34)</f>
        <v>0</v>
      </c>
      <c r="T34" s="109">
        <f>SUM('1:31'!T34)</f>
        <v>0</v>
      </c>
    </row>
    <row r="35" spans="1:20" ht="25.5" customHeight="1" x14ac:dyDescent="0.25">
      <c r="A35" s="106"/>
      <c r="B35" s="107"/>
      <c r="C35" s="107"/>
      <c r="D35" s="107">
        <f>SUM('1:31'!D35)</f>
        <v>0</v>
      </c>
      <c r="E35" s="107"/>
      <c r="F35" s="107">
        <f>SUM('1:31'!F35)</f>
        <v>0</v>
      </c>
      <c r="G35" s="107">
        <f>SUM('1:31'!G35)</f>
        <v>0</v>
      </c>
      <c r="H35" s="108">
        <f>SUM('1:31'!H35)</f>
        <v>0</v>
      </c>
      <c r="I35" s="109">
        <f>SUM('1:31'!I35)</f>
        <v>0</v>
      </c>
      <c r="J35" s="109">
        <f>SUM('1:31'!J35)</f>
        <v>0</v>
      </c>
      <c r="K35" s="109">
        <f>SUM('1:31'!K35)</f>
        <v>0</v>
      </c>
      <c r="L35" s="109">
        <f>SUM('1:31'!L35)</f>
        <v>0</v>
      </c>
      <c r="M35" s="109">
        <f>SUM('1:31'!M35)</f>
        <v>0</v>
      </c>
      <c r="N35" s="109">
        <f>SUM('1:31'!N35)</f>
        <v>0</v>
      </c>
      <c r="O35" s="109">
        <f>SUM('1:31'!O35)</f>
        <v>0</v>
      </c>
      <c r="P35" s="109">
        <f>SUM('1:31'!P35)</f>
        <v>0</v>
      </c>
      <c r="Q35" s="109">
        <f>SUM('1:31'!Q35)</f>
        <v>0</v>
      </c>
      <c r="R35" s="109">
        <f>SUM('1:31'!R35)</f>
        <v>0</v>
      </c>
      <c r="S35" s="109">
        <f>SUM('1:31'!S35)</f>
        <v>0</v>
      </c>
      <c r="T35" s="109">
        <f>SUM('1:31'!T35)</f>
        <v>0</v>
      </c>
    </row>
    <row r="36" spans="1:20" ht="25.5" customHeight="1" x14ac:dyDescent="0.25">
      <c r="A36" s="106"/>
      <c r="B36" s="107"/>
      <c r="C36" s="107"/>
      <c r="D36" s="107">
        <f>SUM('1:31'!D36)</f>
        <v>0</v>
      </c>
      <c r="E36" s="107"/>
      <c r="F36" s="107">
        <f>SUM('1:31'!F36)</f>
        <v>0</v>
      </c>
      <c r="G36" s="107">
        <f>SUM('1:31'!G36)</f>
        <v>0</v>
      </c>
      <c r="H36" s="108">
        <f>SUM('1:31'!H36)</f>
        <v>0</v>
      </c>
      <c r="I36" s="109">
        <f>SUM('1:31'!I36)</f>
        <v>0</v>
      </c>
      <c r="J36" s="109">
        <f>SUM('1:31'!J36)</f>
        <v>0</v>
      </c>
      <c r="K36" s="109">
        <f>SUM('1:31'!K36)</f>
        <v>0</v>
      </c>
      <c r="L36" s="109">
        <f>SUM('1:31'!L36)</f>
        <v>0</v>
      </c>
      <c r="M36" s="109">
        <f>SUM('1:31'!M36)</f>
        <v>0</v>
      </c>
      <c r="N36" s="109">
        <f>SUM('1:31'!N36)</f>
        <v>0</v>
      </c>
      <c r="O36" s="109">
        <f>SUM('1:31'!O36)</f>
        <v>0</v>
      </c>
      <c r="P36" s="109">
        <f>SUM('1:31'!P36)</f>
        <v>0</v>
      </c>
      <c r="Q36" s="109">
        <f>SUM('1:31'!Q36)</f>
        <v>0</v>
      </c>
      <c r="R36" s="109">
        <f>SUM('1:31'!R36)</f>
        <v>0</v>
      </c>
      <c r="S36" s="109">
        <f>SUM('1:31'!S36)</f>
        <v>0</v>
      </c>
      <c r="T36" s="109">
        <f>SUM('1:31'!T36)</f>
        <v>0</v>
      </c>
    </row>
    <row r="37" spans="1:20" ht="25.5" customHeight="1" x14ac:dyDescent="0.25">
      <c r="A37" s="106"/>
      <c r="B37" s="107"/>
      <c r="C37" s="107"/>
      <c r="D37" s="107">
        <f>SUM('1:31'!D37)</f>
        <v>0</v>
      </c>
      <c r="E37" s="107"/>
      <c r="F37" s="107">
        <f>SUM('1:31'!F37)</f>
        <v>0</v>
      </c>
      <c r="G37" s="107">
        <f>SUM('1:31'!G37)</f>
        <v>0</v>
      </c>
      <c r="H37" s="108">
        <f>SUM('1:31'!H37)</f>
        <v>0</v>
      </c>
      <c r="I37" s="109">
        <f>SUM('1:31'!I37)</f>
        <v>0</v>
      </c>
      <c r="J37" s="109">
        <f>SUM('1:31'!J37)</f>
        <v>0</v>
      </c>
      <c r="K37" s="109">
        <f>SUM('1:31'!K37)</f>
        <v>0</v>
      </c>
      <c r="L37" s="109">
        <f>SUM('1:31'!L37)</f>
        <v>0</v>
      </c>
      <c r="M37" s="109">
        <f>SUM('1:31'!M37)</f>
        <v>0</v>
      </c>
      <c r="N37" s="109">
        <f>SUM('1:31'!N37)</f>
        <v>0</v>
      </c>
      <c r="O37" s="109">
        <f>SUM('1:31'!O37)</f>
        <v>0</v>
      </c>
      <c r="P37" s="109">
        <f>SUM('1:31'!P37)</f>
        <v>0</v>
      </c>
      <c r="Q37" s="109">
        <f>SUM('1:31'!Q37)</f>
        <v>0</v>
      </c>
      <c r="R37" s="109">
        <f>SUM('1:31'!R37)</f>
        <v>0</v>
      </c>
      <c r="S37" s="109">
        <f>SUM('1:31'!S37)</f>
        <v>0</v>
      </c>
      <c r="T37" s="109">
        <f>SUM('1:31'!T37)</f>
        <v>0</v>
      </c>
    </row>
    <row r="38" spans="1:20" ht="25.5" customHeight="1" x14ac:dyDescent="0.25">
      <c r="A38" s="106"/>
      <c r="B38" s="107"/>
      <c r="C38" s="107"/>
      <c r="D38" s="107">
        <f>SUM('1:31'!D38)</f>
        <v>0</v>
      </c>
      <c r="E38" s="107"/>
      <c r="F38" s="107">
        <f>SUM('1:31'!F38)</f>
        <v>0</v>
      </c>
      <c r="G38" s="107">
        <f>SUM('1:31'!G38)</f>
        <v>0</v>
      </c>
      <c r="H38" s="108">
        <f>SUM('1:31'!H38)</f>
        <v>0</v>
      </c>
      <c r="I38" s="109">
        <f>SUM('1:31'!I38)</f>
        <v>0</v>
      </c>
      <c r="J38" s="109">
        <f>SUM('1:31'!J38)</f>
        <v>0</v>
      </c>
      <c r="K38" s="109">
        <f>SUM('1:31'!K38)</f>
        <v>0</v>
      </c>
      <c r="L38" s="109">
        <f>SUM('1:31'!L38)</f>
        <v>0</v>
      </c>
      <c r="M38" s="109">
        <f>SUM('1:31'!M38)</f>
        <v>0</v>
      </c>
      <c r="N38" s="109">
        <f>SUM('1:31'!N38)</f>
        <v>0</v>
      </c>
      <c r="O38" s="109">
        <f>SUM('1:31'!O38)</f>
        <v>0</v>
      </c>
      <c r="P38" s="109">
        <f>SUM('1:31'!P38)</f>
        <v>0</v>
      </c>
      <c r="Q38" s="109">
        <f>SUM('1:31'!Q38)</f>
        <v>0</v>
      </c>
      <c r="R38" s="109">
        <f>SUM('1:31'!R38)</f>
        <v>0</v>
      </c>
      <c r="S38" s="109">
        <f>SUM('1:31'!S38)</f>
        <v>0</v>
      </c>
      <c r="T38" s="109">
        <f>SUM('1:31'!T38)</f>
        <v>0</v>
      </c>
    </row>
    <row r="39" spans="1:20" ht="41.25" customHeight="1" x14ac:dyDescent="0.25">
      <c r="A39" s="148" t="s">
        <v>6</v>
      </c>
      <c r="B39" s="148"/>
      <c r="C39" s="148"/>
      <c r="D39" s="107">
        <f>SUM(D4:D38)</f>
        <v>160000</v>
      </c>
      <c r="E39" s="110"/>
      <c r="F39" s="107">
        <f>SUM(F4:F38)</f>
        <v>72968</v>
      </c>
      <c r="G39" s="107">
        <f t="shared" ref="G39:T39" si="0">SUM(G4:G38)</f>
        <v>49835</v>
      </c>
      <c r="H39" s="108">
        <f t="shared" si="0"/>
        <v>1722</v>
      </c>
      <c r="I39" s="109">
        <f t="shared" si="0"/>
        <v>0</v>
      </c>
      <c r="J39" s="109">
        <f t="shared" si="0"/>
        <v>0</v>
      </c>
      <c r="K39" s="109">
        <f t="shared" si="0"/>
        <v>0</v>
      </c>
      <c r="L39" s="109">
        <f t="shared" si="0"/>
        <v>4233</v>
      </c>
      <c r="M39" s="109">
        <f t="shared" si="0"/>
        <v>465</v>
      </c>
      <c r="N39" s="109">
        <f t="shared" si="0"/>
        <v>1607</v>
      </c>
      <c r="O39" s="109">
        <f t="shared" si="0"/>
        <v>370</v>
      </c>
      <c r="P39" s="109">
        <f t="shared" si="0"/>
        <v>501</v>
      </c>
      <c r="Q39" s="109">
        <f t="shared" si="0"/>
        <v>0</v>
      </c>
      <c r="R39" s="109">
        <f t="shared" si="0"/>
        <v>4165</v>
      </c>
      <c r="S39" s="109">
        <f t="shared" si="0"/>
        <v>50</v>
      </c>
      <c r="T39" s="109">
        <f t="shared" si="0"/>
        <v>10040</v>
      </c>
    </row>
    <row r="40" spans="1:20" ht="15.75" thickBot="1" x14ac:dyDescent="0.3"/>
    <row r="41" spans="1:20" ht="30.75" customHeight="1" thickTop="1" thickBot="1" x14ac:dyDescent="0.3">
      <c r="A41" s="3" t="s">
        <v>37</v>
      </c>
      <c r="B41" s="149">
        <f>K49</f>
        <v>0</v>
      </c>
      <c r="C41" s="150"/>
      <c r="E41" s="3" t="s">
        <v>26</v>
      </c>
      <c r="F41" s="4" t="s">
        <v>27</v>
      </c>
      <c r="G41" s="5" t="s">
        <v>28</v>
      </c>
      <c r="I41" s="3" t="s">
        <v>26</v>
      </c>
      <c r="J41" s="4" t="s">
        <v>27</v>
      </c>
      <c r="K41" s="5" t="s">
        <v>28</v>
      </c>
    </row>
    <row r="42" spans="1:20" ht="48.75" customHeight="1" thickTop="1" x14ac:dyDescent="0.25">
      <c r="A42" s="3" t="s">
        <v>19</v>
      </c>
      <c r="B42" s="2">
        <f>+D39</f>
        <v>160000</v>
      </c>
      <c r="C42" s="8"/>
      <c r="E42" s="6">
        <v>200</v>
      </c>
      <c r="F42" s="2">
        <f>SUM('1:31'!F42)</f>
        <v>73</v>
      </c>
      <c r="G42" s="8">
        <f>+E42*F42</f>
        <v>14600</v>
      </c>
      <c r="I42" s="6">
        <v>200</v>
      </c>
      <c r="J42" s="2"/>
      <c r="K42" s="8">
        <f>+I42*J42</f>
        <v>0</v>
      </c>
    </row>
    <row r="43" spans="1:20" ht="46.5" customHeight="1" x14ac:dyDescent="0.25">
      <c r="A43" s="10" t="s">
        <v>20</v>
      </c>
      <c r="B43" s="133">
        <f>D8</f>
        <v>51607</v>
      </c>
      <c r="C43" s="8"/>
      <c r="D43" s="28"/>
      <c r="E43" s="6">
        <v>100</v>
      </c>
      <c r="F43" s="2">
        <f>SUM('1:31'!F43)</f>
        <v>136</v>
      </c>
      <c r="G43" s="8">
        <f t="shared" ref="G43:G48" si="1">+E43*F43</f>
        <v>13600</v>
      </c>
      <c r="I43" s="6">
        <v>100</v>
      </c>
      <c r="J43" s="2"/>
      <c r="K43" s="8">
        <f t="shared" ref="K43:K48" si="2">+I43*J43</f>
        <v>0</v>
      </c>
    </row>
    <row r="44" spans="1:20" ht="46.5" customHeight="1" x14ac:dyDescent="0.25">
      <c r="A44" s="10" t="s">
        <v>21</v>
      </c>
      <c r="B44" s="2">
        <f>F39</f>
        <v>72968</v>
      </c>
      <c r="C44" s="8"/>
      <c r="E44" s="6">
        <v>50</v>
      </c>
      <c r="F44" s="2">
        <f>SUM('1:31'!F44)</f>
        <v>75</v>
      </c>
      <c r="G44" s="8">
        <f t="shared" si="1"/>
        <v>3750</v>
      </c>
      <c r="I44" s="6">
        <v>50</v>
      </c>
      <c r="J44" s="2"/>
      <c r="K44" s="8">
        <f t="shared" si="2"/>
        <v>0</v>
      </c>
    </row>
    <row r="45" spans="1:20" ht="51.75" customHeight="1" x14ac:dyDescent="0.25">
      <c r="A45" s="10" t="s">
        <v>22</v>
      </c>
      <c r="B45" s="12">
        <f>+B42-B43-B44</f>
        <v>35425</v>
      </c>
      <c r="C45" s="13"/>
      <c r="D45" s="28"/>
      <c r="E45" s="6">
        <v>20</v>
      </c>
      <c r="F45" s="2">
        <f>SUM('1:31'!F45)</f>
        <v>68</v>
      </c>
      <c r="G45" s="8">
        <f t="shared" si="1"/>
        <v>1360</v>
      </c>
      <c r="I45" s="6">
        <v>20</v>
      </c>
      <c r="J45" s="2"/>
      <c r="K45" s="8">
        <f t="shared" si="2"/>
        <v>0</v>
      </c>
    </row>
    <row r="46" spans="1:20" ht="46.5" customHeight="1" x14ac:dyDescent="0.25">
      <c r="A46" s="10" t="s">
        <v>23</v>
      </c>
      <c r="B46" s="12">
        <f>G49</f>
        <v>35245</v>
      </c>
      <c r="C46" s="13"/>
      <c r="D46" s="27"/>
      <c r="E46" s="6">
        <v>10</v>
      </c>
      <c r="F46" s="2">
        <f>SUM('1:31'!F46)</f>
        <v>86</v>
      </c>
      <c r="G46" s="8">
        <f t="shared" si="1"/>
        <v>860</v>
      </c>
      <c r="I46" s="6">
        <v>10</v>
      </c>
      <c r="J46" s="2"/>
      <c r="K46" s="8">
        <f t="shared" si="2"/>
        <v>0</v>
      </c>
    </row>
    <row r="47" spans="1:20" ht="54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2">
        <f>SUM('1:31'!F47)</f>
        <v>187</v>
      </c>
      <c r="G47" s="8">
        <f t="shared" si="1"/>
        <v>935</v>
      </c>
      <c r="I47" s="6">
        <v>5</v>
      </c>
      <c r="J47" s="2"/>
      <c r="K47" s="8">
        <f t="shared" si="2"/>
        <v>0</v>
      </c>
    </row>
    <row r="48" spans="1:20" ht="36.75" customHeight="1" x14ac:dyDescent="0.25">
      <c r="A48" s="10" t="s">
        <v>7</v>
      </c>
      <c r="B48" s="12">
        <f>IF(B45&gt;B46,B45-B46,0)</f>
        <v>180</v>
      </c>
      <c r="C48" s="13"/>
      <c r="E48" s="6">
        <v>1</v>
      </c>
      <c r="F48" s="2">
        <f>SUM('1:31'!F48)</f>
        <v>140</v>
      </c>
      <c r="G48" s="8">
        <f t="shared" si="1"/>
        <v>140</v>
      </c>
      <c r="I48" s="6">
        <v>1</v>
      </c>
      <c r="J48" s="2"/>
      <c r="K48" s="8">
        <f t="shared" si="2"/>
        <v>0</v>
      </c>
    </row>
    <row r="49" spans="1:14" ht="45" customHeight="1" thickBot="1" x14ac:dyDescent="0.35">
      <c r="A49" s="11" t="s">
        <v>29</v>
      </c>
      <c r="B49" s="14" t="b">
        <f>B45=B46</f>
        <v>0</v>
      </c>
      <c r="C49" s="15"/>
      <c r="E49" s="137" t="s">
        <v>25</v>
      </c>
      <c r="F49" s="138"/>
      <c r="G49" s="9">
        <f>SUM(G42:G48)</f>
        <v>35245</v>
      </c>
      <c r="I49" s="137" t="s">
        <v>25</v>
      </c>
      <c r="J49" s="138"/>
      <c r="K49" s="9">
        <f>SUM(K42:K48)</f>
        <v>0</v>
      </c>
    </row>
    <row r="50" spans="1:14" ht="15.75" thickTop="1" x14ac:dyDescent="0.25"/>
    <row r="53" spans="1:14" ht="53.25" customHeight="1" x14ac:dyDescent="0.25">
      <c r="A53" s="145" t="s">
        <v>41</v>
      </c>
      <c r="B53" s="145"/>
      <c r="C53" s="145"/>
      <c r="D53" s="145"/>
      <c r="E53" s="145"/>
      <c r="J53" s="24"/>
      <c r="K53" s="24"/>
      <c r="L53" s="24"/>
    </row>
    <row r="54" spans="1:14" s="17" customFormat="1" ht="66.75" customHeight="1" x14ac:dyDescent="0.25">
      <c r="A54" s="19" t="s">
        <v>4</v>
      </c>
      <c r="B54" s="19" t="s">
        <v>42</v>
      </c>
      <c r="C54" s="19" t="s">
        <v>43</v>
      </c>
      <c r="D54" s="19" t="s">
        <v>44</v>
      </c>
      <c r="E54" s="19" t="s">
        <v>1</v>
      </c>
      <c r="K54" s="24"/>
      <c r="L54" s="24"/>
      <c r="M54" s="26"/>
      <c r="N54" s="26"/>
    </row>
    <row r="55" spans="1:14" ht="33.75" customHeight="1" x14ac:dyDescent="0.25">
      <c r="A55" s="61">
        <v>45108</v>
      </c>
      <c r="B55" s="20">
        <f>'1'!G49</f>
        <v>281</v>
      </c>
      <c r="C55" s="20"/>
      <c r="D55" s="20">
        <f>B55</f>
        <v>281</v>
      </c>
      <c r="E55" s="21"/>
      <c r="K55" s="24"/>
      <c r="L55" s="24"/>
      <c r="M55" s="26"/>
      <c r="N55" s="26"/>
    </row>
    <row r="56" spans="1:14" ht="33.75" customHeight="1" x14ac:dyDescent="0.35">
      <c r="A56" s="61">
        <v>45109</v>
      </c>
      <c r="B56" s="20">
        <f>'2'!G49</f>
        <v>667</v>
      </c>
      <c r="C56" s="20"/>
      <c r="D56" s="20">
        <f>D55+B56-C56</f>
        <v>948</v>
      </c>
      <c r="E56" s="22"/>
      <c r="K56" s="24"/>
      <c r="L56" s="24"/>
      <c r="M56" s="26"/>
      <c r="N56" s="26"/>
    </row>
    <row r="57" spans="1:14" ht="33.75" customHeight="1" x14ac:dyDescent="0.35">
      <c r="A57" s="61">
        <v>45110</v>
      </c>
      <c r="B57" s="20">
        <f>'3'!G49</f>
        <v>86</v>
      </c>
      <c r="C57" s="20"/>
      <c r="D57" s="20">
        <f t="shared" ref="D57:D86" si="3">D56+B57-C57</f>
        <v>1034</v>
      </c>
      <c r="E57" s="22"/>
      <c r="K57" s="24"/>
      <c r="L57" s="24"/>
      <c r="M57" s="26"/>
      <c r="N57" s="26"/>
    </row>
    <row r="58" spans="1:14" ht="33.75" customHeight="1" x14ac:dyDescent="0.35">
      <c r="A58" s="61">
        <v>45111</v>
      </c>
      <c r="B58" s="20">
        <f>'4'!G49</f>
        <v>395</v>
      </c>
      <c r="C58" s="20"/>
      <c r="D58" s="20">
        <f t="shared" si="3"/>
        <v>1429</v>
      </c>
      <c r="E58" s="23"/>
      <c r="K58" s="25"/>
      <c r="L58" s="24"/>
      <c r="M58" s="26"/>
      <c r="N58" s="26"/>
    </row>
    <row r="59" spans="1:14" ht="33.75" customHeight="1" x14ac:dyDescent="0.35">
      <c r="A59" s="61">
        <v>45112</v>
      </c>
      <c r="B59" s="20">
        <f>'5'!G49</f>
        <v>640</v>
      </c>
      <c r="C59" s="20"/>
      <c r="D59" s="20">
        <f t="shared" si="3"/>
        <v>2069</v>
      </c>
      <c r="E59" s="23"/>
      <c r="K59" s="25"/>
      <c r="L59" s="25"/>
      <c r="M59" s="29"/>
      <c r="N59" s="29"/>
    </row>
    <row r="60" spans="1:14" ht="33.75" customHeight="1" x14ac:dyDescent="0.35">
      <c r="A60" s="61">
        <v>45113</v>
      </c>
      <c r="B60" s="20">
        <f>'6'!G49</f>
        <v>1153</v>
      </c>
      <c r="C60" s="20"/>
      <c r="D60" s="20">
        <f t="shared" si="3"/>
        <v>3222</v>
      </c>
      <c r="E60" s="23"/>
      <c r="K60" s="25"/>
      <c r="L60" s="25"/>
      <c r="M60" s="25"/>
      <c r="N60" s="25"/>
    </row>
    <row r="61" spans="1:14" ht="33.75" customHeight="1" x14ac:dyDescent="0.35">
      <c r="A61" s="61">
        <v>45114</v>
      </c>
      <c r="B61" s="20">
        <f>'7'!G49</f>
        <v>429</v>
      </c>
      <c r="C61" s="20"/>
      <c r="D61" s="20">
        <f t="shared" si="3"/>
        <v>3651</v>
      </c>
      <c r="E61" s="23"/>
      <c r="K61" s="25"/>
    </row>
    <row r="62" spans="1:14" ht="33.75" customHeight="1" x14ac:dyDescent="0.35">
      <c r="A62" s="61">
        <v>45115</v>
      </c>
      <c r="B62" s="20">
        <f>'8'!G49</f>
        <v>1048</v>
      </c>
      <c r="C62" s="20"/>
      <c r="D62" s="20">
        <f t="shared" si="3"/>
        <v>4699</v>
      </c>
      <c r="E62" s="23"/>
    </row>
    <row r="63" spans="1:14" ht="33.75" customHeight="1" x14ac:dyDescent="0.35">
      <c r="A63" s="61">
        <v>45116</v>
      </c>
      <c r="B63" s="20">
        <f>'9'!G49</f>
        <v>661</v>
      </c>
      <c r="C63" s="20"/>
      <c r="D63" s="20">
        <f t="shared" si="3"/>
        <v>5360</v>
      </c>
      <c r="E63" s="23"/>
    </row>
    <row r="64" spans="1:14" ht="33.75" customHeight="1" x14ac:dyDescent="0.35">
      <c r="A64" s="61">
        <v>45117</v>
      </c>
      <c r="B64" s="20">
        <f>'10'!G49</f>
        <v>1497</v>
      </c>
      <c r="C64" s="20"/>
      <c r="D64" s="20">
        <f t="shared" si="3"/>
        <v>6857</v>
      </c>
      <c r="E64" s="23"/>
      <c r="J64" s="25"/>
    </row>
    <row r="65" spans="1:5" ht="33.75" customHeight="1" x14ac:dyDescent="0.35">
      <c r="A65" s="61">
        <v>45118</v>
      </c>
      <c r="B65" s="20">
        <f>'11'!G49</f>
        <v>2097</v>
      </c>
      <c r="C65" s="20"/>
      <c r="D65" s="20">
        <f t="shared" si="3"/>
        <v>8954</v>
      </c>
      <c r="E65" s="23"/>
    </row>
    <row r="66" spans="1:5" ht="33.75" customHeight="1" x14ac:dyDescent="0.35">
      <c r="A66" s="61">
        <v>45119</v>
      </c>
      <c r="B66" s="20">
        <f>'12'!G49</f>
        <v>1547</v>
      </c>
      <c r="C66" s="20"/>
      <c r="D66" s="20">
        <f t="shared" si="3"/>
        <v>10501</v>
      </c>
      <c r="E66" s="23"/>
    </row>
    <row r="67" spans="1:5" ht="33.75" customHeight="1" x14ac:dyDescent="0.35">
      <c r="A67" s="61">
        <v>45120</v>
      </c>
      <c r="B67" s="20">
        <f>'13'!G49</f>
        <v>1630</v>
      </c>
      <c r="C67" s="20"/>
      <c r="D67" s="20">
        <f t="shared" si="3"/>
        <v>12131</v>
      </c>
      <c r="E67" s="23"/>
    </row>
    <row r="68" spans="1:5" ht="33.75" customHeight="1" x14ac:dyDescent="0.35">
      <c r="A68" s="61">
        <v>45121</v>
      </c>
      <c r="B68" s="20">
        <f>'14'!G49</f>
        <v>849</v>
      </c>
      <c r="C68" s="20"/>
      <c r="D68" s="20">
        <f t="shared" si="3"/>
        <v>12980</v>
      </c>
      <c r="E68" s="23"/>
    </row>
    <row r="69" spans="1:5" ht="33.75" customHeight="1" x14ac:dyDescent="0.35">
      <c r="A69" s="61">
        <v>45122</v>
      </c>
      <c r="B69" s="20">
        <f>'15'!G49</f>
        <v>619</v>
      </c>
      <c r="C69" s="20"/>
      <c r="D69" s="20">
        <f t="shared" si="3"/>
        <v>13599</v>
      </c>
      <c r="E69" s="23"/>
    </row>
    <row r="70" spans="1:5" ht="33.75" customHeight="1" x14ac:dyDescent="0.35">
      <c r="A70" s="61">
        <v>45123</v>
      </c>
      <c r="B70" s="20">
        <f>'16'!G49</f>
        <v>941</v>
      </c>
      <c r="C70" s="20"/>
      <c r="D70" s="20">
        <f t="shared" si="3"/>
        <v>14540</v>
      </c>
      <c r="E70" s="23"/>
    </row>
    <row r="71" spans="1:5" ht="33.75" customHeight="1" x14ac:dyDescent="0.35">
      <c r="A71" s="61">
        <v>45124</v>
      </c>
      <c r="B71" s="20">
        <f>'17'!G49</f>
        <v>1641</v>
      </c>
      <c r="C71" s="20"/>
      <c r="D71" s="20">
        <f t="shared" si="3"/>
        <v>16181</v>
      </c>
      <c r="E71" s="23"/>
    </row>
    <row r="72" spans="1:5" ht="33.75" customHeight="1" x14ac:dyDescent="0.35">
      <c r="A72" s="61">
        <v>45125</v>
      </c>
      <c r="B72" s="20">
        <f>'18'!G49</f>
        <v>1636</v>
      </c>
      <c r="C72" s="20"/>
      <c r="D72" s="20">
        <f t="shared" si="3"/>
        <v>17817</v>
      </c>
      <c r="E72" s="23"/>
    </row>
    <row r="73" spans="1:5" ht="33.75" customHeight="1" x14ac:dyDescent="0.35">
      <c r="A73" s="61">
        <v>45126</v>
      </c>
      <c r="B73" s="20">
        <f>'19'!G49</f>
        <v>1304</v>
      </c>
      <c r="C73" s="20"/>
      <c r="D73" s="20">
        <f t="shared" si="3"/>
        <v>19121</v>
      </c>
      <c r="E73" s="23"/>
    </row>
    <row r="74" spans="1:5" ht="33.75" customHeight="1" x14ac:dyDescent="0.35">
      <c r="A74" s="61">
        <v>45127</v>
      </c>
      <c r="B74" s="20">
        <f>'20'!G49</f>
        <v>2513</v>
      </c>
      <c r="C74" s="20"/>
      <c r="D74" s="20">
        <f t="shared" si="3"/>
        <v>21634</v>
      </c>
      <c r="E74" s="23"/>
    </row>
    <row r="75" spans="1:5" ht="33.75" customHeight="1" x14ac:dyDescent="0.35">
      <c r="A75" s="61">
        <v>45128</v>
      </c>
      <c r="B75" s="20">
        <f>'21'!G49</f>
        <v>865</v>
      </c>
      <c r="C75" s="20"/>
      <c r="D75" s="20">
        <f t="shared" si="3"/>
        <v>22499</v>
      </c>
      <c r="E75" s="23"/>
    </row>
    <row r="76" spans="1:5" ht="33.75" customHeight="1" x14ac:dyDescent="0.35">
      <c r="A76" s="61">
        <v>45129</v>
      </c>
      <c r="B76" s="20">
        <f>'22'!G49</f>
        <v>525</v>
      </c>
      <c r="C76" s="20"/>
      <c r="D76" s="20">
        <f t="shared" si="3"/>
        <v>23024</v>
      </c>
      <c r="E76" s="23"/>
    </row>
    <row r="77" spans="1:5" ht="33.75" customHeight="1" x14ac:dyDescent="0.35">
      <c r="A77" s="61">
        <v>45130</v>
      </c>
      <c r="B77" s="20">
        <f>'23'!G49</f>
        <v>1205</v>
      </c>
      <c r="C77" s="20"/>
      <c r="D77" s="20">
        <f t="shared" si="3"/>
        <v>24229</v>
      </c>
      <c r="E77" s="23"/>
    </row>
    <row r="78" spans="1:5" ht="33.75" customHeight="1" x14ac:dyDescent="0.35">
      <c r="A78" s="61">
        <v>45131</v>
      </c>
      <c r="B78" s="20">
        <f>'24'!G49</f>
        <v>1367</v>
      </c>
      <c r="C78" s="20"/>
      <c r="D78" s="20">
        <f t="shared" si="3"/>
        <v>25596</v>
      </c>
      <c r="E78" s="23"/>
    </row>
    <row r="79" spans="1:5" ht="33.75" customHeight="1" x14ac:dyDescent="0.35">
      <c r="A79" s="61">
        <v>45132</v>
      </c>
      <c r="B79" s="20">
        <f>'25'!G49</f>
        <v>820</v>
      </c>
      <c r="C79" s="20"/>
      <c r="D79" s="20">
        <f t="shared" si="3"/>
        <v>26416</v>
      </c>
      <c r="E79" s="23"/>
    </row>
    <row r="80" spans="1:5" ht="33.75" customHeight="1" x14ac:dyDescent="0.35">
      <c r="A80" s="61">
        <v>45133</v>
      </c>
      <c r="B80" s="20">
        <f>'26'!G49</f>
        <v>1548</v>
      </c>
      <c r="C80" s="20"/>
      <c r="D80" s="20">
        <f t="shared" si="3"/>
        <v>27964</v>
      </c>
      <c r="E80" s="23"/>
    </row>
    <row r="81" spans="1:5" ht="33.75" customHeight="1" x14ac:dyDescent="0.35">
      <c r="A81" s="61">
        <v>45134</v>
      </c>
      <c r="B81" s="20">
        <f>'27'!G49</f>
        <v>2254</v>
      </c>
      <c r="C81" s="20"/>
      <c r="D81" s="20">
        <f t="shared" si="3"/>
        <v>30218</v>
      </c>
      <c r="E81" s="23"/>
    </row>
    <row r="82" spans="1:5" ht="33.75" customHeight="1" x14ac:dyDescent="0.35">
      <c r="A82" s="61">
        <v>45135</v>
      </c>
      <c r="B82" s="20">
        <f>'28'!G49</f>
        <v>700</v>
      </c>
      <c r="C82" s="20"/>
      <c r="D82" s="20">
        <f t="shared" si="3"/>
        <v>30918</v>
      </c>
      <c r="E82" s="23"/>
    </row>
    <row r="83" spans="1:5" ht="33.75" customHeight="1" x14ac:dyDescent="0.35">
      <c r="A83" s="61">
        <v>45136</v>
      </c>
      <c r="B83" s="20">
        <v>882</v>
      </c>
      <c r="C83" s="20"/>
      <c r="D83" s="20">
        <f t="shared" si="3"/>
        <v>31800</v>
      </c>
      <c r="E83" s="23"/>
    </row>
    <row r="84" spans="1:5" ht="33.75" customHeight="1" x14ac:dyDescent="0.35">
      <c r="A84" s="61">
        <v>45137</v>
      </c>
      <c r="B84" s="20">
        <v>1345</v>
      </c>
      <c r="C84" s="20"/>
      <c r="D84" s="20">
        <f t="shared" si="3"/>
        <v>33145</v>
      </c>
      <c r="E84" s="23"/>
    </row>
    <row r="85" spans="1:5" ht="33.75" customHeight="1" x14ac:dyDescent="0.35">
      <c r="A85" s="61">
        <v>45138</v>
      </c>
      <c r="B85" s="20">
        <v>2100</v>
      </c>
      <c r="C85" s="20"/>
      <c r="D85" s="20">
        <f t="shared" si="3"/>
        <v>35245</v>
      </c>
      <c r="E85" s="23"/>
    </row>
    <row r="86" spans="1:5" ht="33.75" customHeight="1" x14ac:dyDescent="0.35">
      <c r="A86" s="61"/>
      <c r="B86" s="20"/>
      <c r="C86" s="20"/>
      <c r="D86" s="20">
        <f t="shared" si="3"/>
        <v>35245</v>
      </c>
      <c r="E86" s="23"/>
    </row>
    <row r="87" spans="1:5" ht="21.75" customHeight="1" x14ac:dyDescent="0.25">
      <c r="B87" s="18"/>
      <c r="C87" s="18"/>
      <c r="D87" s="18"/>
    </row>
    <row r="88" spans="1:5" ht="21.75" customHeight="1" x14ac:dyDescent="0.25">
      <c r="B88" s="18"/>
      <c r="C88" s="18"/>
      <c r="D88" s="18"/>
    </row>
    <row r="89" spans="1:5" ht="21.75" customHeight="1" x14ac:dyDescent="0.25">
      <c r="B89" s="18"/>
      <c r="C89" s="18"/>
      <c r="D89" s="18"/>
    </row>
    <row r="90" spans="1:5" ht="21.75" customHeight="1" x14ac:dyDescent="0.25">
      <c r="B90" s="18"/>
      <c r="C90" s="18"/>
      <c r="D90" s="18"/>
    </row>
    <row r="91" spans="1:5" ht="21.75" customHeight="1" x14ac:dyDescent="0.25"/>
    <row r="92" spans="1:5" ht="21.75" customHeight="1" x14ac:dyDescent="0.25"/>
    <row r="93" spans="1:5" ht="21.75" customHeight="1" x14ac:dyDescent="0.25"/>
    <row r="94" spans="1:5" ht="21.75" customHeight="1" x14ac:dyDescent="0.25"/>
    <row r="95" spans="1:5" ht="21.75" customHeight="1" x14ac:dyDescent="0.25"/>
    <row r="96" spans="1:5" ht="21.75" customHeight="1" x14ac:dyDescent="0.25"/>
  </sheetData>
  <mergeCells count="7">
    <mergeCell ref="A53:E53"/>
    <mergeCell ref="E49:F49"/>
    <mergeCell ref="E2:L2"/>
    <mergeCell ref="A39:C39"/>
    <mergeCell ref="I49:J49"/>
    <mergeCell ref="B41:C41"/>
    <mergeCell ref="A2:D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27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36"/>
  <sheetViews>
    <sheetView rightToLeft="1" tabSelected="1" zoomScale="106" zoomScaleNormal="106" workbookViewId="0">
      <pane ySplit="3" topLeftCell="A27" activePane="bottomLeft" state="frozen"/>
      <selection pane="bottomLeft" activeCell="R39" sqref="R39"/>
    </sheetView>
  </sheetViews>
  <sheetFormatPr defaultRowHeight="15" x14ac:dyDescent="0.25"/>
  <cols>
    <col min="2" max="2" width="16.5703125" bestFit="1" customWidth="1"/>
    <col min="3" max="4" width="18.42578125" customWidth="1"/>
    <col min="5" max="5" width="19.7109375" customWidth="1"/>
    <col min="6" max="7" width="14.42578125" bestFit="1" customWidth="1"/>
    <col min="8" max="8" width="16" bestFit="1" customWidth="1"/>
    <col min="9" max="9" width="14.42578125" bestFit="1" customWidth="1"/>
    <col min="10" max="10" width="15.5703125" bestFit="1" customWidth="1"/>
    <col min="11" max="11" width="19.140625" bestFit="1" customWidth="1"/>
    <col min="12" max="12" width="14.42578125" bestFit="1" customWidth="1"/>
    <col min="13" max="13" width="15.28515625" bestFit="1" customWidth="1"/>
    <col min="14" max="14" width="14.28515625" bestFit="1" customWidth="1"/>
    <col min="15" max="15" width="19.42578125" bestFit="1" customWidth="1"/>
    <col min="16" max="16" width="20.7109375" bestFit="1" customWidth="1"/>
    <col min="17" max="17" width="14.42578125" bestFit="1" customWidth="1"/>
    <col min="18" max="18" width="19.85546875" bestFit="1" customWidth="1"/>
    <col min="19" max="19" width="14.140625" bestFit="1" customWidth="1"/>
    <col min="20" max="20" width="14.42578125" bestFit="1" customWidth="1"/>
    <col min="21" max="21" width="16" bestFit="1" customWidth="1"/>
    <col min="22" max="22" width="14.42578125" bestFit="1" customWidth="1"/>
    <col min="23" max="23" width="16" bestFit="1" customWidth="1"/>
  </cols>
  <sheetData>
    <row r="1" spans="2:23" x14ac:dyDescent="0.25">
      <c r="B1" s="177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9"/>
    </row>
    <row r="2" spans="2:23" ht="18.75" x14ac:dyDescent="0.3">
      <c r="B2" s="180"/>
      <c r="C2" s="154"/>
      <c r="D2" s="154"/>
      <c r="E2" s="155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2"/>
    </row>
    <row r="3" spans="2:23" ht="23.25" customHeight="1" x14ac:dyDescent="0.25">
      <c r="B3" s="183" t="s">
        <v>47</v>
      </c>
      <c r="C3" s="175" t="s">
        <v>188</v>
      </c>
      <c r="D3" s="175" t="s">
        <v>240</v>
      </c>
      <c r="E3" s="175" t="s">
        <v>187</v>
      </c>
      <c r="F3" s="175" t="s">
        <v>133</v>
      </c>
      <c r="G3" s="175" t="s">
        <v>189</v>
      </c>
      <c r="H3" s="175" t="s">
        <v>190</v>
      </c>
      <c r="I3" s="175" t="s">
        <v>191</v>
      </c>
      <c r="J3" s="175" t="s">
        <v>193</v>
      </c>
      <c r="K3" s="175" t="s">
        <v>194</v>
      </c>
      <c r="L3" s="175" t="s">
        <v>195</v>
      </c>
      <c r="M3" s="175" t="s">
        <v>196</v>
      </c>
      <c r="N3" s="175" t="s">
        <v>197</v>
      </c>
      <c r="O3" s="175" t="s">
        <v>213</v>
      </c>
      <c r="P3" s="175" t="s">
        <v>198</v>
      </c>
      <c r="Q3" s="175" t="s">
        <v>192</v>
      </c>
      <c r="R3" s="175" t="s">
        <v>199</v>
      </c>
      <c r="S3" s="175" t="s">
        <v>200</v>
      </c>
      <c r="T3" s="175" t="s">
        <v>201</v>
      </c>
      <c r="U3" s="175" t="s">
        <v>202</v>
      </c>
      <c r="V3" s="175" t="s">
        <v>185</v>
      </c>
      <c r="W3" s="184" t="s">
        <v>76</v>
      </c>
    </row>
    <row r="4" spans="2:23" ht="21" x14ac:dyDescent="0.35">
      <c r="B4" s="185">
        <v>45108</v>
      </c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86"/>
    </row>
    <row r="5" spans="2:23" ht="21" x14ac:dyDescent="0.35">
      <c r="B5" s="185">
        <v>45109</v>
      </c>
      <c r="C5" s="176"/>
      <c r="D5" s="176"/>
      <c r="E5" s="176">
        <v>55</v>
      </c>
      <c r="F5" s="176"/>
      <c r="G5" s="176"/>
      <c r="H5" s="176">
        <f>20+20</f>
        <v>40</v>
      </c>
      <c r="I5" s="176"/>
      <c r="J5" s="176"/>
      <c r="K5" s="176"/>
      <c r="L5" s="176">
        <v>350</v>
      </c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86">
        <f>SUM(C5:V5)</f>
        <v>445</v>
      </c>
    </row>
    <row r="6" spans="2:23" ht="21" x14ac:dyDescent="0.35">
      <c r="B6" s="185">
        <v>45110</v>
      </c>
      <c r="C6" s="176">
        <v>3150</v>
      </c>
      <c r="D6" s="176"/>
      <c r="E6" s="176">
        <v>82</v>
      </c>
      <c r="F6" s="176"/>
      <c r="G6" s="176">
        <v>119</v>
      </c>
      <c r="H6" s="176"/>
      <c r="I6" s="176"/>
      <c r="J6" s="176"/>
      <c r="K6" s="176"/>
      <c r="L6" s="176"/>
      <c r="M6" s="176">
        <v>30</v>
      </c>
      <c r="N6" s="176">
        <v>50</v>
      </c>
      <c r="O6" s="176"/>
      <c r="P6" s="176"/>
      <c r="Q6" s="176"/>
      <c r="R6" s="176"/>
      <c r="S6" s="176"/>
      <c r="T6" s="176"/>
      <c r="U6" s="176"/>
      <c r="V6" s="176"/>
      <c r="W6" s="186">
        <f>SUM(C6:V6)</f>
        <v>3431</v>
      </c>
    </row>
    <row r="7" spans="2:23" ht="21" x14ac:dyDescent="0.35">
      <c r="B7" s="185">
        <v>45111</v>
      </c>
      <c r="C7" s="176">
        <v>25</v>
      </c>
      <c r="D7" s="176"/>
      <c r="E7" s="176">
        <v>50</v>
      </c>
      <c r="F7" s="176">
        <v>200</v>
      </c>
      <c r="G7" s="176">
        <f>30+45+45</f>
        <v>120</v>
      </c>
      <c r="H7" s="176">
        <v>25</v>
      </c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86">
        <f>SUM(C7:V7)</f>
        <v>420</v>
      </c>
    </row>
    <row r="8" spans="2:23" ht="21" x14ac:dyDescent="0.35">
      <c r="B8" s="185">
        <v>45112</v>
      </c>
      <c r="C8" s="176"/>
      <c r="D8" s="176"/>
      <c r="E8" s="176">
        <f>55+64+48</f>
        <v>167</v>
      </c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>
        <v>75</v>
      </c>
      <c r="Q8" s="176"/>
      <c r="R8" s="176"/>
      <c r="S8" s="176"/>
      <c r="T8" s="176"/>
      <c r="U8" s="176"/>
      <c r="V8" s="176"/>
      <c r="W8" s="186">
        <f>SUM(C8:V8)</f>
        <v>242</v>
      </c>
    </row>
    <row r="9" spans="2:23" ht="21" x14ac:dyDescent="0.35">
      <c r="B9" s="185">
        <v>45113</v>
      </c>
      <c r="C9" s="176"/>
      <c r="D9" s="176"/>
      <c r="E9" s="176">
        <f>48</f>
        <v>48</v>
      </c>
      <c r="F9" s="176"/>
      <c r="G9" s="176"/>
      <c r="H9" s="176">
        <f>20+25+25+25+20</f>
        <v>115</v>
      </c>
      <c r="I9" s="176"/>
      <c r="J9" s="176"/>
      <c r="K9" s="176"/>
      <c r="L9" s="176"/>
      <c r="M9" s="176"/>
      <c r="N9" s="176"/>
      <c r="O9" s="176"/>
      <c r="P9" s="176"/>
      <c r="Q9" s="176">
        <v>1050</v>
      </c>
      <c r="R9" s="176">
        <v>84</v>
      </c>
      <c r="S9" s="176">
        <v>60</v>
      </c>
      <c r="T9" s="176"/>
      <c r="U9" s="176"/>
      <c r="V9" s="176"/>
      <c r="W9" s="186">
        <f>SUM(C9:V9)</f>
        <v>1357</v>
      </c>
    </row>
    <row r="10" spans="2:23" ht="21" x14ac:dyDescent="0.35">
      <c r="B10" s="185">
        <v>45114</v>
      </c>
      <c r="C10" s="176"/>
      <c r="D10" s="176"/>
      <c r="E10" s="176"/>
      <c r="F10" s="176"/>
      <c r="G10" s="176"/>
      <c r="H10" s="176">
        <f>66+25</f>
        <v>91</v>
      </c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>
        <v>1000</v>
      </c>
      <c r="U10" s="176"/>
      <c r="V10" s="176"/>
      <c r="W10" s="186">
        <f>SUM(C10:V10)</f>
        <v>1091</v>
      </c>
    </row>
    <row r="11" spans="2:23" ht="21" x14ac:dyDescent="0.35">
      <c r="B11" s="185">
        <v>45115</v>
      </c>
      <c r="C11" s="176"/>
      <c r="D11" s="176"/>
      <c r="E11" s="176">
        <f>20+55+130</f>
        <v>205</v>
      </c>
      <c r="F11" s="176"/>
      <c r="G11" s="176"/>
      <c r="H11" s="176">
        <v>25</v>
      </c>
      <c r="I11" s="176"/>
      <c r="J11" s="176"/>
      <c r="K11" s="176">
        <v>75</v>
      </c>
      <c r="L11" s="176"/>
      <c r="M11" s="176"/>
      <c r="N11" s="176"/>
      <c r="O11" s="176"/>
      <c r="P11" s="176">
        <v>50</v>
      </c>
      <c r="Q11" s="176"/>
      <c r="R11" s="176"/>
      <c r="S11" s="176"/>
      <c r="T11" s="176"/>
      <c r="U11" s="176"/>
      <c r="V11" s="176"/>
      <c r="W11" s="186">
        <f>SUM(C11:V11)</f>
        <v>355</v>
      </c>
    </row>
    <row r="12" spans="2:23" ht="21" x14ac:dyDescent="0.35">
      <c r="B12" s="185">
        <v>45116</v>
      </c>
      <c r="C12" s="176">
        <v>50</v>
      </c>
      <c r="D12" s="176"/>
      <c r="E12" s="176">
        <f>112</f>
        <v>112</v>
      </c>
      <c r="F12" s="176"/>
      <c r="G12" s="176"/>
      <c r="H12" s="176">
        <v>20</v>
      </c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86">
        <f>SUM(C12:V12)</f>
        <v>182</v>
      </c>
    </row>
    <row r="13" spans="2:23" ht="21" x14ac:dyDescent="0.35">
      <c r="B13" s="185">
        <v>45117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>
        <v>500</v>
      </c>
      <c r="M13" s="176"/>
      <c r="N13" s="176"/>
      <c r="O13" s="176"/>
      <c r="P13" s="176"/>
      <c r="Q13" s="176"/>
      <c r="R13" s="176"/>
      <c r="S13" s="176">
        <v>25</v>
      </c>
      <c r="T13" s="176"/>
      <c r="U13" s="176"/>
      <c r="V13" s="176"/>
      <c r="W13" s="186">
        <f>SUM(C13:V13)</f>
        <v>525</v>
      </c>
    </row>
    <row r="14" spans="2:23" ht="21" x14ac:dyDescent="0.35">
      <c r="B14" s="185">
        <v>45118</v>
      </c>
      <c r="C14" s="176">
        <v>20</v>
      </c>
      <c r="D14" s="176"/>
      <c r="E14" s="176">
        <f>200+22</f>
        <v>222</v>
      </c>
      <c r="F14" s="176"/>
      <c r="G14" s="176">
        <v>180</v>
      </c>
      <c r="H14" s="176">
        <v>75</v>
      </c>
      <c r="I14" s="176">
        <v>200</v>
      </c>
      <c r="J14" s="176"/>
      <c r="K14" s="176">
        <v>90</v>
      </c>
      <c r="L14" s="176"/>
      <c r="M14" s="176"/>
      <c r="N14" s="176"/>
      <c r="O14" s="176"/>
      <c r="P14" s="176"/>
      <c r="Q14" s="176"/>
      <c r="R14" s="176"/>
      <c r="S14" s="176"/>
      <c r="T14" s="176"/>
      <c r="U14" s="176">
        <v>2000</v>
      </c>
      <c r="V14" s="176">
        <v>500</v>
      </c>
      <c r="W14" s="186">
        <f>SUM(C14:V14)</f>
        <v>3287</v>
      </c>
    </row>
    <row r="15" spans="2:23" ht="21" x14ac:dyDescent="0.35">
      <c r="B15" s="185">
        <v>45119</v>
      </c>
      <c r="C15" s="176"/>
      <c r="D15" s="176"/>
      <c r="E15" s="176">
        <v>30</v>
      </c>
      <c r="F15" s="176">
        <v>50</v>
      </c>
      <c r="G15" s="176"/>
      <c r="H15" s="176">
        <f>25</f>
        <v>25</v>
      </c>
      <c r="I15" s="176">
        <f>30+150</f>
        <v>180</v>
      </c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86">
        <f>SUM(C15:V15)</f>
        <v>285</v>
      </c>
    </row>
    <row r="16" spans="2:23" ht="21" x14ac:dyDescent="0.35">
      <c r="B16" s="185">
        <v>45120</v>
      </c>
      <c r="C16" s="176"/>
      <c r="D16" s="176"/>
      <c r="E16" s="176"/>
      <c r="F16" s="176">
        <f>100+35</f>
        <v>135</v>
      </c>
      <c r="G16" s="176">
        <v>135</v>
      </c>
      <c r="H16" s="176"/>
      <c r="I16" s="176"/>
      <c r="J16" s="176"/>
      <c r="K16" s="176"/>
      <c r="L16" s="176"/>
      <c r="M16" s="176"/>
      <c r="N16" s="176"/>
      <c r="O16" s="176">
        <v>630</v>
      </c>
      <c r="P16" s="176"/>
      <c r="Q16" s="176">
        <v>700</v>
      </c>
      <c r="R16" s="176"/>
      <c r="S16" s="176"/>
      <c r="T16" s="176"/>
      <c r="U16" s="176"/>
      <c r="V16" s="176"/>
      <c r="W16" s="186">
        <f>SUM(C16:V16)</f>
        <v>1600</v>
      </c>
    </row>
    <row r="17" spans="2:23" ht="21" x14ac:dyDescent="0.35">
      <c r="B17" s="185">
        <v>45121</v>
      </c>
      <c r="C17" s="176"/>
      <c r="D17" s="176"/>
      <c r="E17" s="176">
        <v>50</v>
      </c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>
        <v>1000</v>
      </c>
      <c r="U17" s="176">
        <v>2000</v>
      </c>
      <c r="V17" s="176"/>
      <c r="W17" s="186">
        <f>SUM(C17:V17)</f>
        <v>3050</v>
      </c>
    </row>
    <row r="18" spans="2:23" ht="21" x14ac:dyDescent="0.35">
      <c r="B18" s="185">
        <v>45122</v>
      </c>
      <c r="C18" s="176"/>
      <c r="D18" s="176"/>
      <c r="E18" s="176"/>
      <c r="F18" s="176"/>
      <c r="G18" s="176">
        <v>135</v>
      </c>
      <c r="H18" s="176">
        <f>20+25+20+25+20</f>
        <v>110</v>
      </c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86">
        <f>SUM(C18:V18)</f>
        <v>245</v>
      </c>
    </row>
    <row r="19" spans="2:23" ht="21" x14ac:dyDescent="0.35">
      <c r="B19" s="185">
        <v>45123</v>
      </c>
      <c r="C19" s="176"/>
      <c r="D19" s="176"/>
      <c r="E19" s="176"/>
      <c r="F19" s="176">
        <v>100</v>
      </c>
      <c r="G19" s="176">
        <f>60+90+100</f>
        <v>250</v>
      </c>
      <c r="H19" s="176">
        <f>20+25</f>
        <v>45</v>
      </c>
      <c r="I19" s="176">
        <v>118</v>
      </c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86">
        <f>SUM(C19:V19)</f>
        <v>513</v>
      </c>
    </row>
    <row r="20" spans="2:23" ht="21" x14ac:dyDescent="0.35">
      <c r="B20" s="185">
        <v>45124</v>
      </c>
      <c r="C20" s="176"/>
      <c r="D20" s="176">
        <v>30</v>
      </c>
      <c r="E20" s="176"/>
      <c r="F20" s="176">
        <f>95+150</f>
        <v>245</v>
      </c>
      <c r="G20" s="176"/>
      <c r="H20" s="176">
        <f>20+25</f>
        <v>45</v>
      </c>
      <c r="I20" s="176"/>
      <c r="J20" s="176"/>
      <c r="K20" s="176"/>
      <c r="L20" s="176">
        <v>1500</v>
      </c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86">
        <f>SUM(C20:V20)</f>
        <v>1820</v>
      </c>
    </row>
    <row r="21" spans="2:23" ht="21" x14ac:dyDescent="0.35">
      <c r="B21" s="185">
        <v>45125</v>
      </c>
      <c r="C21" s="176"/>
      <c r="D21" s="176"/>
      <c r="E21" s="176"/>
      <c r="F21" s="176">
        <v>85</v>
      </c>
      <c r="G21" s="176">
        <f>45+265</f>
        <v>310</v>
      </c>
      <c r="H21" s="176">
        <v>20</v>
      </c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86">
        <f>SUM(C21:V21)</f>
        <v>415</v>
      </c>
    </row>
    <row r="22" spans="2:23" ht="21" x14ac:dyDescent="0.35">
      <c r="B22" s="185">
        <v>45126</v>
      </c>
      <c r="C22" s="176"/>
      <c r="D22" s="176"/>
      <c r="E22" s="176"/>
      <c r="F22" s="176">
        <v>150</v>
      </c>
      <c r="G22" s="176">
        <v>105</v>
      </c>
      <c r="H22" s="176"/>
      <c r="I22" s="176"/>
      <c r="J22" s="176"/>
      <c r="K22" s="176"/>
      <c r="L22" s="176">
        <v>32</v>
      </c>
      <c r="M22" s="176"/>
      <c r="N22" s="176"/>
      <c r="O22" s="176"/>
      <c r="P22" s="176"/>
      <c r="Q22" s="176"/>
      <c r="R22" s="176"/>
      <c r="S22" s="176">
        <v>80</v>
      </c>
      <c r="T22" s="176"/>
      <c r="U22" s="176">
        <v>3000</v>
      </c>
      <c r="V22" s="176"/>
      <c r="W22" s="186">
        <f>SUM(C22:V22)</f>
        <v>3367</v>
      </c>
    </row>
    <row r="23" spans="2:23" ht="21" x14ac:dyDescent="0.35">
      <c r="B23" s="185">
        <v>45127</v>
      </c>
      <c r="C23" s="176"/>
      <c r="D23" s="176"/>
      <c r="E23" s="176">
        <v>35</v>
      </c>
      <c r="F23" s="176">
        <v>2300</v>
      </c>
      <c r="G23" s="176">
        <v>180</v>
      </c>
      <c r="H23" s="176">
        <f>20+20</f>
        <v>40</v>
      </c>
      <c r="I23" s="176"/>
      <c r="J23" s="176"/>
      <c r="K23" s="176">
        <v>216</v>
      </c>
      <c r="L23" s="176"/>
      <c r="M23" s="176"/>
      <c r="N23" s="176"/>
      <c r="O23" s="176"/>
      <c r="P23" s="176"/>
      <c r="Q23" s="176">
        <v>1050</v>
      </c>
      <c r="R23" s="176"/>
      <c r="S23" s="176"/>
      <c r="T23" s="176"/>
      <c r="U23" s="176"/>
      <c r="V23" s="176"/>
      <c r="W23" s="186">
        <f>SUM(C23:V23)</f>
        <v>3821</v>
      </c>
    </row>
    <row r="24" spans="2:23" ht="21" x14ac:dyDescent="0.35">
      <c r="B24" s="185">
        <v>45128</v>
      </c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>
        <v>1000</v>
      </c>
      <c r="U24" s="176">
        <v>2000</v>
      </c>
      <c r="V24" s="176"/>
      <c r="W24" s="186">
        <f>SUM(C24:V24)</f>
        <v>3000</v>
      </c>
    </row>
    <row r="25" spans="2:23" ht="21" x14ac:dyDescent="0.35">
      <c r="B25" s="185">
        <v>45129</v>
      </c>
      <c r="C25" s="176"/>
      <c r="D25" s="176"/>
      <c r="E25" s="176"/>
      <c r="F25" s="176">
        <f>35+225</f>
        <v>260</v>
      </c>
      <c r="G25" s="176">
        <v>150</v>
      </c>
      <c r="H25" s="176">
        <v>20</v>
      </c>
      <c r="I25" s="176"/>
      <c r="J25" s="176">
        <v>400</v>
      </c>
      <c r="K25" s="176"/>
      <c r="L25" s="176"/>
      <c r="M25" s="176"/>
      <c r="N25" s="176">
        <v>100</v>
      </c>
      <c r="O25" s="176"/>
      <c r="P25" s="176"/>
      <c r="Q25" s="176"/>
      <c r="R25" s="176"/>
      <c r="S25" s="176"/>
      <c r="T25" s="176"/>
      <c r="U25" s="176"/>
      <c r="V25" s="176"/>
      <c r="W25" s="186">
        <f>SUM(C25:V25)</f>
        <v>930</v>
      </c>
    </row>
    <row r="26" spans="2:23" ht="21" x14ac:dyDescent="0.35">
      <c r="B26" s="185">
        <v>45130</v>
      </c>
      <c r="C26" s="176"/>
      <c r="D26" s="176"/>
      <c r="E26" s="176">
        <v>30</v>
      </c>
      <c r="F26" s="176">
        <v>300</v>
      </c>
      <c r="G26" s="176">
        <v>15</v>
      </c>
      <c r="H26" s="176">
        <v>65</v>
      </c>
      <c r="I26" s="176"/>
      <c r="J26" s="176">
        <v>400</v>
      </c>
      <c r="K26" s="176"/>
      <c r="L26" s="176"/>
      <c r="M26" s="176"/>
      <c r="N26" s="176"/>
      <c r="O26" s="176"/>
      <c r="P26" s="176">
        <v>60</v>
      </c>
      <c r="Q26" s="176"/>
      <c r="R26" s="176"/>
      <c r="S26" s="176">
        <v>90</v>
      </c>
      <c r="T26" s="176"/>
      <c r="U26" s="176"/>
      <c r="V26" s="176"/>
      <c r="W26" s="186">
        <f>SUM(C26:V26)</f>
        <v>960</v>
      </c>
    </row>
    <row r="27" spans="2:23" ht="21" x14ac:dyDescent="0.35">
      <c r="B27" s="185">
        <v>45131</v>
      </c>
      <c r="C27" s="176">
        <v>246</v>
      </c>
      <c r="D27" s="176"/>
      <c r="E27" s="176">
        <v>80</v>
      </c>
      <c r="F27" s="176">
        <v>225</v>
      </c>
      <c r="G27" s="176">
        <v>75</v>
      </c>
      <c r="H27" s="176">
        <v>25</v>
      </c>
      <c r="I27" s="176">
        <v>3000</v>
      </c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86">
        <f>SUM(C27:V27)</f>
        <v>3651</v>
      </c>
    </row>
    <row r="28" spans="2:23" ht="21" x14ac:dyDescent="0.35">
      <c r="B28" s="185">
        <v>45132</v>
      </c>
      <c r="C28" s="176">
        <v>89</v>
      </c>
      <c r="D28" s="176"/>
      <c r="E28" s="176"/>
      <c r="F28" s="176">
        <v>1175</v>
      </c>
      <c r="G28" s="176">
        <f>35+45</f>
        <v>80</v>
      </c>
      <c r="H28" s="176">
        <f>25+95</f>
        <v>120</v>
      </c>
      <c r="I28" s="176"/>
      <c r="J28" s="176"/>
      <c r="K28" s="176"/>
      <c r="L28" s="176"/>
      <c r="M28" s="176"/>
      <c r="N28" s="176"/>
      <c r="O28" s="176"/>
      <c r="P28" s="176"/>
      <c r="Q28" s="176"/>
      <c r="R28" s="176"/>
      <c r="S28" s="176"/>
      <c r="T28" s="176"/>
      <c r="U28" s="176">
        <v>3000</v>
      </c>
      <c r="V28" s="176">
        <v>500</v>
      </c>
      <c r="W28" s="186">
        <f>SUM(C28:V28)</f>
        <v>4964</v>
      </c>
    </row>
    <row r="29" spans="2:23" ht="21" x14ac:dyDescent="0.35">
      <c r="B29" s="185">
        <v>45133</v>
      </c>
      <c r="C29" s="176"/>
      <c r="D29" s="176"/>
      <c r="E29" s="176">
        <v>45</v>
      </c>
      <c r="F29" s="176">
        <v>370</v>
      </c>
      <c r="G29" s="176">
        <f>95+30</f>
        <v>125</v>
      </c>
      <c r="H29" s="176">
        <f>25+20</f>
        <v>45</v>
      </c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>
        <v>100</v>
      </c>
      <c r="T29" s="176"/>
      <c r="U29" s="176"/>
      <c r="V29" s="176"/>
      <c r="W29" s="186">
        <f>SUM(C29:V29)</f>
        <v>685</v>
      </c>
    </row>
    <row r="30" spans="2:23" ht="21" x14ac:dyDescent="0.35">
      <c r="B30" s="185">
        <v>45134</v>
      </c>
      <c r="C30" s="176"/>
      <c r="D30" s="176"/>
      <c r="E30" s="176">
        <v>30</v>
      </c>
      <c r="F30" s="176">
        <v>500</v>
      </c>
      <c r="G30" s="176"/>
      <c r="H30" s="176">
        <v>25</v>
      </c>
      <c r="I30" s="176"/>
      <c r="J30" s="176"/>
      <c r="K30" s="176"/>
      <c r="L30" s="176"/>
      <c r="M30" s="176"/>
      <c r="N30" s="176"/>
      <c r="O30" s="176">
        <v>840</v>
      </c>
      <c r="P30" s="176"/>
      <c r="Q30" s="176">
        <v>1050</v>
      </c>
      <c r="R30" s="176"/>
      <c r="S30" s="176"/>
      <c r="T30" s="176"/>
      <c r="U30" s="176"/>
      <c r="V30" s="176"/>
      <c r="W30" s="186">
        <f>SUM(C30:V30)</f>
        <v>2445</v>
      </c>
    </row>
    <row r="31" spans="2:23" ht="21" x14ac:dyDescent="0.35">
      <c r="B31" s="185">
        <v>45135</v>
      </c>
      <c r="C31" s="176"/>
      <c r="D31" s="176"/>
      <c r="E31" s="176"/>
      <c r="F31" s="176"/>
      <c r="G31" s="176">
        <v>60</v>
      </c>
      <c r="H31" s="176">
        <v>25</v>
      </c>
      <c r="I31" s="176"/>
      <c r="J31" s="176"/>
      <c r="K31" s="176"/>
      <c r="L31" s="176"/>
      <c r="M31" s="176"/>
      <c r="N31" s="176"/>
      <c r="O31" s="176"/>
      <c r="P31" s="176"/>
      <c r="Q31" s="176"/>
      <c r="R31" s="176"/>
      <c r="S31" s="176"/>
      <c r="T31" s="176">
        <v>1500</v>
      </c>
      <c r="U31" s="176"/>
      <c r="V31" s="176"/>
      <c r="W31" s="186">
        <f>SUM(C31:V31)</f>
        <v>1585</v>
      </c>
    </row>
    <row r="32" spans="2:23" ht="21" x14ac:dyDescent="0.35">
      <c r="B32" s="185">
        <v>45136</v>
      </c>
      <c r="C32" s="176">
        <f>225+59+90</f>
        <v>374</v>
      </c>
      <c r="D32" s="176"/>
      <c r="E32" s="176"/>
      <c r="F32" s="176">
        <f>85+40+325</f>
        <v>450</v>
      </c>
      <c r="G32" s="176">
        <v>75</v>
      </c>
      <c r="H32" s="176">
        <f>25+20+25+25</f>
        <v>95</v>
      </c>
      <c r="I32" s="176"/>
      <c r="J32" s="176">
        <v>400</v>
      </c>
      <c r="K32" s="176"/>
      <c r="L32" s="176"/>
      <c r="M32" s="176"/>
      <c r="N32" s="176"/>
      <c r="O32" s="176">
        <v>567</v>
      </c>
      <c r="P32" s="176">
        <v>75</v>
      </c>
      <c r="Q32" s="176"/>
      <c r="R32" s="176"/>
      <c r="S32" s="176"/>
      <c r="T32" s="176"/>
      <c r="U32" s="176"/>
      <c r="V32" s="176"/>
      <c r="W32" s="186">
        <f>SUM(C32:V32)</f>
        <v>2036</v>
      </c>
    </row>
    <row r="33" spans="2:23" ht="21" x14ac:dyDescent="0.35">
      <c r="B33" s="185">
        <v>45137</v>
      </c>
      <c r="C33" s="176"/>
      <c r="D33" s="176"/>
      <c r="E33" s="176">
        <v>55</v>
      </c>
      <c r="F33" s="176">
        <f>320+400</f>
        <v>720</v>
      </c>
      <c r="G33" s="176">
        <v>105</v>
      </c>
      <c r="H33" s="176"/>
      <c r="I33" s="176"/>
      <c r="J33" s="176">
        <v>400</v>
      </c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6"/>
      <c r="V33" s="176"/>
      <c r="W33" s="186">
        <f>SUM(C33:V33)</f>
        <v>1280</v>
      </c>
    </row>
    <row r="34" spans="2:23" ht="21" x14ac:dyDescent="0.35">
      <c r="B34" s="185">
        <v>45138</v>
      </c>
      <c r="C34" s="176"/>
      <c r="D34" s="176">
        <v>50</v>
      </c>
      <c r="E34" s="176">
        <v>95</v>
      </c>
      <c r="F34" s="176">
        <v>260</v>
      </c>
      <c r="G34" s="176">
        <f>150+15</f>
        <v>165</v>
      </c>
      <c r="H34" s="176">
        <v>50</v>
      </c>
      <c r="I34" s="176">
        <v>3000</v>
      </c>
      <c r="J34" s="176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W34" s="186">
        <f>SUM(C34:V34)</f>
        <v>3620</v>
      </c>
    </row>
    <row r="35" spans="2:23" ht="21" x14ac:dyDescent="0.35">
      <c r="B35" s="187" t="s">
        <v>76</v>
      </c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86">
        <f>SUM(W5:W34)</f>
        <v>51607</v>
      </c>
    </row>
    <row r="36" spans="2:23" ht="21.75" thickBot="1" x14ac:dyDescent="0.4">
      <c r="B36" s="188"/>
      <c r="C36" s="189">
        <f>SUM(C4:C34)</f>
        <v>3954</v>
      </c>
      <c r="D36" s="189">
        <f>SUM(D4:D35)</f>
        <v>80</v>
      </c>
      <c r="E36" s="189">
        <f t="shared" ref="E36:V36" si="0">SUM(E4:E34)</f>
        <v>1391</v>
      </c>
      <c r="F36" s="189">
        <f t="shared" si="0"/>
        <v>7525</v>
      </c>
      <c r="G36" s="189">
        <f t="shared" si="0"/>
        <v>2384</v>
      </c>
      <c r="H36" s="189">
        <f t="shared" si="0"/>
        <v>1146</v>
      </c>
      <c r="I36" s="189">
        <f t="shared" si="0"/>
        <v>6498</v>
      </c>
      <c r="J36" s="189">
        <f t="shared" si="0"/>
        <v>1600</v>
      </c>
      <c r="K36" s="189">
        <f t="shared" si="0"/>
        <v>381</v>
      </c>
      <c r="L36" s="189">
        <f t="shared" si="0"/>
        <v>2382</v>
      </c>
      <c r="M36" s="189">
        <f t="shared" si="0"/>
        <v>30</v>
      </c>
      <c r="N36" s="189">
        <f t="shared" si="0"/>
        <v>150</v>
      </c>
      <c r="O36" s="189">
        <f t="shared" si="0"/>
        <v>2037</v>
      </c>
      <c r="P36" s="189">
        <f t="shared" si="0"/>
        <v>260</v>
      </c>
      <c r="Q36" s="189">
        <f t="shared" si="0"/>
        <v>3850</v>
      </c>
      <c r="R36" s="189">
        <f t="shared" si="0"/>
        <v>84</v>
      </c>
      <c r="S36" s="189">
        <f t="shared" si="0"/>
        <v>355</v>
      </c>
      <c r="T36" s="189">
        <f t="shared" si="0"/>
        <v>4500</v>
      </c>
      <c r="U36" s="189">
        <f t="shared" si="0"/>
        <v>12000</v>
      </c>
      <c r="V36" s="189">
        <f t="shared" si="0"/>
        <v>1000</v>
      </c>
      <c r="W36" s="190">
        <f>SUM(C36:V36)</f>
        <v>51607</v>
      </c>
    </row>
  </sheetData>
  <mergeCells count="2">
    <mergeCell ref="B2:E2"/>
    <mergeCell ref="B35:B3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6" orientation="portrait" r:id="rId1"/>
  <ignoredErrors>
    <ignoredError sqref="W6 W13 W15:W34" formulaRange="1"/>
    <ignoredError sqref="W35 D36" formula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8"/>
  <sheetViews>
    <sheetView rightToLeft="1" zoomScale="89" zoomScaleNormal="89" workbookViewId="0">
      <pane ySplit="4" topLeftCell="A32" activePane="bottomLeft" state="frozen"/>
      <selection pane="bottomLeft" activeCell="M44" sqref="M44"/>
    </sheetView>
  </sheetViews>
  <sheetFormatPr defaultRowHeight="15" x14ac:dyDescent="0.25"/>
  <cols>
    <col min="2" max="2" width="12.7109375" customWidth="1"/>
    <col min="3" max="3" width="13.42578125" bestFit="1" customWidth="1"/>
    <col min="4" max="4" width="9.28515625" bestFit="1" customWidth="1"/>
    <col min="5" max="5" width="16.42578125" bestFit="1" customWidth="1"/>
    <col min="6" max="6" width="12.140625" bestFit="1" customWidth="1"/>
    <col min="7" max="7" width="9.28515625" bestFit="1" customWidth="1"/>
    <col min="8" max="8" width="16.28515625" bestFit="1" customWidth="1"/>
    <col min="9" max="9" width="10.5703125" bestFit="1" customWidth="1"/>
    <col min="10" max="10" width="9.28515625" bestFit="1" customWidth="1"/>
    <col min="11" max="12" width="12.140625" bestFit="1" customWidth="1"/>
    <col min="13" max="13" width="9.28515625" bestFit="1" customWidth="1"/>
    <col min="14" max="14" width="14.5703125" bestFit="1" customWidth="1"/>
    <col min="15" max="15" width="15" bestFit="1" customWidth="1"/>
    <col min="16" max="16" width="17" customWidth="1"/>
    <col min="17" max="17" width="20.85546875" customWidth="1"/>
    <col min="18" max="18" width="17" customWidth="1"/>
    <col min="19" max="20" width="21.7109375" customWidth="1"/>
    <col min="21" max="21" width="16.85546875" bestFit="1" customWidth="1"/>
  </cols>
  <sheetData>
    <row r="2" spans="2:21" ht="15.75" thickBot="1" x14ac:dyDescent="0.3"/>
    <row r="3" spans="2:21" ht="21.75" customHeight="1" x14ac:dyDescent="0.3">
      <c r="B3" s="160" t="s">
        <v>47</v>
      </c>
      <c r="C3" s="164" t="s">
        <v>69</v>
      </c>
      <c r="D3" s="165"/>
      <c r="E3" s="166"/>
      <c r="F3" s="164" t="s">
        <v>61</v>
      </c>
      <c r="G3" s="165"/>
      <c r="H3" s="166"/>
      <c r="I3" s="164" t="s">
        <v>62</v>
      </c>
      <c r="J3" s="165"/>
      <c r="K3" s="166"/>
      <c r="L3" s="167" t="s">
        <v>72</v>
      </c>
      <c r="M3" s="167"/>
      <c r="N3" s="168"/>
      <c r="O3" s="162" t="s">
        <v>47</v>
      </c>
      <c r="P3" s="157" t="s">
        <v>73</v>
      </c>
      <c r="Q3" s="158"/>
      <c r="R3" s="158"/>
      <c r="S3" s="158"/>
      <c r="T3" s="158"/>
      <c r="U3" s="159"/>
    </row>
    <row r="4" spans="2:21" ht="25.5" customHeight="1" x14ac:dyDescent="0.3">
      <c r="B4" s="161"/>
      <c r="C4" s="113" t="s">
        <v>63</v>
      </c>
      <c r="D4" s="113" t="s">
        <v>70</v>
      </c>
      <c r="E4" s="113" t="s">
        <v>71</v>
      </c>
      <c r="F4" s="113" t="s">
        <v>63</v>
      </c>
      <c r="G4" s="113" t="s">
        <v>70</v>
      </c>
      <c r="H4" s="113" t="s">
        <v>71</v>
      </c>
      <c r="I4" s="113" t="s">
        <v>63</v>
      </c>
      <c r="J4" s="113" t="s">
        <v>70</v>
      </c>
      <c r="K4" s="113" t="s">
        <v>71</v>
      </c>
      <c r="L4" s="113" t="s">
        <v>63</v>
      </c>
      <c r="M4" s="113" t="s">
        <v>70</v>
      </c>
      <c r="N4" s="114" t="s">
        <v>71</v>
      </c>
      <c r="O4" s="163"/>
      <c r="P4" s="93" t="s">
        <v>74</v>
      </c>
      <c r="Q4" s="93" t="s">
        <v>50</v>
      </c>
      <c r="R4" s="93" t="s">
        <v>109</v>
      </c>
      <c r="S4" s="93" t="s">
        <v>75</v>
      </c>
      <c r="T4" s="93" t="s">
        <v>50</v>
      </c>
      <c r="U4" s="93" t="s">
        <v>110</v>
      </c>
    </row>
    <row r="5" spans="2:21" ht="30" x14ac:dyDescent="0.25">
      <c r="B5" s="98">
        <v>45108</v>
      </c>
      <c r="C5" s="73">
        <v>33</v>
      </c>
      <c r="D5" s="73">
        <v>20</v>
      </c>
      <c r="E5" s="73">
        <f>C5*D5</f>
        <v>660</v>
      </c>
      <c r="F5" s="74">
        <v>11</v>
      </c>
      <c r="G5" s="74">
        <v>25</v>
      </c>
      <c r="H5" s="74">
        <f>F5*G5</f>
        <v>275</v>
      </c>
      <c r="I5" s="75">
        <v>3</v>
      </c>
      <c r="J5" s="75">
        <v>32</v>
      </c>
      <c r="K5" s="75">
        <f>I5*J5</f>
        <v>96</v>
      </c>
      <c r="L5" s="94">
        <v>6</v>
      </c>
      <c r="M5" s="94">
        <v>40</v>
      </c>
      <c r="N5" s="76">
        <f>L5*M5</f>
        <v>240</v>
      </c>
      <c r="O5" s="100">
        <v>45108</v>
      </c>
      <c r="P5" s="95">
        <v>4</v>
      </c>
      <c r="Q5" s="128" t="s">
        <v>162</v>
      </c>
      <c r="R5" s="95">
        <f>P5</f>
        <v>4</v>
      </c>
      <c r="S5" s="95">
        <v>25</v>
      </c>
      <c r="T5" s="129" t="s">
        <v>176</v>
      </c>
      <c r="U5" s="121">
        <v>13</v>
      </c>
    </row>
    <row r="6" spans="2:21" x14ac:dyDescent="0.25">
      <c r="B6" s="98">
        <v>45109</v>
      </c>
      <c r="C6" s="73">
        <v>11</v>
      </c>
      <c r="D6" s="73">
        <v>20</v>
      </c>
      <c r="E6" s="73">
        <f t="shared" ref="E6:E35" si="0">C6*D6</f>
        <v>220</v>
      </c>
      <c r="F6" s="74">
        <v>13</v>
      </c>
      <c r="G6" s="74">
        <v>25</v>
      </c>
      <c r="H6" s="74">
        <f t="shared" ref="H6:H35" si="1">F6*G6</f>
        <v>325</v>
      </c>
      <c r="I6" s="75">
        <v>0</v>
      </c>
      <c r="J6" s="75">
        <v>32</v>
      </c>
      <c r="K6" s="75">
        <f t="shared" ref="K6:K35" si="2">I6*J6</f>
        <v>0</v>
      </c>
      <c r="L6" s="94">
        <v>0</v>
      </c>
      <c r="M6" s="94">
        <v>40</v>
      </c>
      <c r="N6" s="76">
        <f t="shared" ref="N6:N35" si="3">L6*M6</f>
        <v>0</v>
      </c>
      <c r="O6" s="100">
        <v>45111</v>
      </c>
      <c r="P6" s="95">
        <v>4</v>
      </c>
      <c r="Q6" s="95" t="s">
        <v>122</v>
      </c>
      <c r="R6" s="95">
        <f t="shared" ref="R6:R34" si="4">P6</f>
        <v>4</v>
      </c>
      <c r="S6" s="95">
        <v>0</v>
      </c>
      <c r="T6" s="95"/>
      <c r="U6" s="121">
        <f t="shared" ref="U6:U34" si="5">S6</f>
        <v>0</v>
      </c>
    </row>
    <row r="7" spans="2:21" x14ac:dyDescent="0.25">
      <c r="B7" s="98">
        <v>45110</v>
      </c>
      <c r="C7" s="73">
        <v>14</v>
      </c>
      <c r="D7" s="73">
        <v>20</v>
      </c>
      <c r="E7" s="73">
        <f t="shared" si="0"/>
        <v>280</v>
      </c>
      <c r="F7" s="74">
        <v>19</v>
      </c>
      <c r="G7" s="74">
        <v>25</v>
      </c>
      <c r="H7" s="74">
        <f t="shared" si="1"/>
        <v>475</v>
      </c>
      <c r="I7" s="75"/>
      <c r="J7" s="75">
        <v>32</v>
      </c>
      <c r="K7" s="75">
        <f t="shared" si="2"/>
        <v>0</v>
      </c>
      <c r="L7" s="94"/>
      <c r="M7" s="94">
        <v>40</v>
      </c>
      <c r="N7" s="76">
        <f t="shared" si="3"/>
        <v>0</v>
      </c>
      <c r="O7" s="100">
        <v>45113</v>
      </c>
      <c r="P7" s="95">
        <v>9</v>
      </c>
      <c r="Q7" s="95" t="s">
        <v>165</v>
      </c>
      <c r="R7" s="95">
        <f t="shared" si="4"/>
        <v>9</v>
      </c>
      <c r="S7" s="95">
        <v>0</v>
      </c>
      <c r="T7" s="95"/>
      <c r="U7" s="121">
        <f t="shared" si="5"/>
        <v>0</v>
      </c>
    </row>
    <row r="8" spans="2:21" x14ac:dyDescent="0.25">
      <c r="B8" s="98">
        <v>45111</v>
      </c>
      <c r="C8" s="73">
        <v>27</v>
      </c>
      <c r="D8" s="73">
        <v>20</v>
      </c>
      <c r="E8" s="73">
        <f t="shared" si="0"/>
        <v>540</v>
      </c>
      <c r="F8" s="74">
        <v>15</v>
      </c>
      <c r="G8" s="74">
        <v>25</v>
      </c>
      <c r="H8" s="74">
        <f t="shared" si="1"/>
        <v>375</v>
      </c>
      <c r="I8" s="75">
        <v>1</v>
      </c>
      <c r="J8" s="75">
        <v>32</v>
      </c>
      <c r="K8" s="75">
        <f t="shared" si="2"/>
        <v>32</v>
      </c>
      <c r="L8" s="94">
        <v>1</v>
      </c>
      <c r="M8" s="94">
        <v>40</v>
      </c>
      <c r="N8" s="76">
        <f t="shared" si="3"/>
        <v>40</v>
      </c>
      <c r="O8" s="100">
        <v>45117</v>
      </c>
      <c r="P8" s="95">
        <v>4</v>
      </c>
      <c r="Q8" s="95" t="s">
        <v>122</v>
      </c>
      <c r="R8" s="95">
        <f t="shared" si="4"/>
        <v>4</v>
      </c>
      <c r="S8" s="95">
        <v>15</v>
      </c>
      <c r="T8" s="95" t="s">
        <v>215</v>
      </c>
      <c r="U8" s="121">
        <f t="shared" si="5"/>
        <v>15</v>
      </c>
    </row>
    <row r="9" spans="2:21" x14ac:dyDescent="0.25">
      <c r="B9" s="98">
        <v>45112</v>
      </c>
      <c r="C9" s="73">
        <v>15</v>
      </c>
      <c r="D9" s="73">
        <v>20</v>
      </c>
      <c r="E9" s="73">
        <f t="shared" si="0"/>
        <v>300</v>
      </c>
      <c r="F9" s="74">
        <v>27</v>
      </c>
      <c r="G9" s="74">
        <v>25</v>
      </c>
      <c r="H9" s="74">
        <f t="shared" si="1"/>
        <v>675</v>
      </c>
      <c r="I9" s="75">
        <v>0</v>
      </c>
      <c r="J9" s="75">
        <v>32</v>
      </c>
      <c r="K9" s="75">
        <f t="shared" si="2"/>
        <v>0</v>
      </c>
      <c r="L9" s="94">
        <v>0</v>
      </c>
      <c r="M9" s="94">
        <v>40</v>
      </c>
      <c r="N9" s="76">
        <f t="shared" si="3"/>
        <v>0</v>
      </c>
      <c r="O9" s="100">
        <v>45118</v>
      </c>
      <c r="P9" s="95">
        <v>5</v>
      </c>
      <c r="Q9" s="95" t="s">
        <v>186</v>
      </c>
      <c r="R9" s="95">
        <f t="shared" si="4"/>
        <v>5</v>
      </c>
      <c r="S9" s="95"/>
      <c r="T9" s="95"/>
      <c r="U9" s="121">
        <f t="shared" si="5"/>
        <v>0</v>
      </c>
    </row>
    <row r="10" spans="2:21" x14ac:dyDescent="0.25">
      <c r="B10" s="98">
        <v>45113</v>
      </c>
      <c r="C10" s="73">
        <v>26</v>
      </c>
      <c r="D10" s="73">
        <v>20</v>
      </c>
      <c r="E10" s="73">
        <f t="shared" si="0"/>
        <v>520</v>
      </c>
      <c r="F10" s="74">
        <v>25</v>
      </c>
      <c r="G10" s="74">
        <v>25</v>
      </c>
      <c r="H10" s="74">
        <f t="shared" si="1"/>
        <v>625</v>
      </c>
      <c r="I10" s="75">
        <v>1</v>
      </c>
      <c r="J10" s="75">
        <v>32</v>
      </c>
      <c r="K10" s="75">
        <f t="shared" si="2"/>
        <v>32</v>
      </c>
      <c r="L10" s="94">
        <v>4</v>
      </c>
      <c r="M10" s="94">
        <v>40</v>
      </c>
      <c r="N10" s="76">
        <f t="shared" si="3"/>
        <v>160</v>
      </c>
      <c r="O10" s="100">
        <v>45059</v>
      </c>
      <c r="P10" s="95">
        <v>0</v>
      </c>
      <c r="Q10" s="95"/>
      <c r="R10" s="95">
        <f t="shared" si="4"/>
        <v>0</v>
      </c>
      <c r="S10" s="95"/>
      <c r="T10" s="95"/>
      <c r="U10" s="121">
        <f t="shared" si="5"/>
        <v>0</v>
      </c>
    </row>
    <row r="11" spans="2:21" x14ac:dyDescent="0.25">
      <c r="B11" s="98">
        <v>45114</v>
      </c>
      <c r="C11" s="73">
        <v>15</v>
      </c>
      <c r="D11" s="73">
        <v>20</v>
      </c>
      <c r="E11" s="73">
        <f t="shared" si="0"/>
        <v>300</v>
      </c>
      <c r="F11" s="74">
        <v>15</v>
      </c>
      <c r="G11" s="74">
        <v>25</v>
      </c>
      <c r="H11" s="74">
        <f t="shared" si="1"/>
        <v>375</v>
      </c>
      <c r="I11" s="75">
        <v>1</v>
      </c>
      <c r="J11" s="75">
        <v>32</v>
      </c>
      <c r="K11" s="75">
        <f t="shared" si="2"/>
        <v>32</v>
      </c>
      <c r="L11" s="94"/>
      <c r="M11" s="94">
        <v>40</v>
      </c>
      <c r="N11" s="76">
        <f t="shared" si="3"/>
        <v>0</v>
      </c>
      <c r="O11" s="100">
        <v>45122</v>
      </c>
      <c r="P11" s="95">
        <v>6</v>
      </c>
      <c r="Q11" s="95" t="s">
        <v>214</v>
      </c>
      <c r="R11" s="95">
        <f t="shared" si="4"/>
        <v>6</v>
      </c>
      <c r="S11" s="95"/>
      <c r="T11" s="95"/>
      <c r="U11" s="121">
        <f t="shared" si="5"/>
        <v>0</v>
      </c>
    </row>
    <row r="12" spans="2:21" x14ac:dyDescent="0.25">
      <c r="B12" s="98">
        <v>45115</v>
      </c>
      <c r="C12" s="73">
        <v>20</v>
      </c>
      <c r="D12" s="73">
        <v>20</v>
      </c>
      <c r="E12" s="73">
        <f t="shared" si="0"/>
        <v>400</v>
      </c>
      <c r="F12" s="74">
        <v>29</v>
      </c>
      <c r="G12" s="74">
        <v>25</v>
      </c>
      <c r="H12" s="74">
        <f t="shared" si="1"/>
        <v>725</v>
      </c>
      <c r="I12" s="75">
        <v>1</v>
      </c>
      <c r="J12" s="75">
        <v>32</v>
      </c>
      <c r="K12" s="75">
        <f t="shared" si="2"/>
        <v>32</v>
      </c>
      <c r="L12" s="94">
        <v>0</v>
      </c>
      <c r="M12" s="94">
        <v>40</v>
      </c>
      <c r="N12" s="76">
        <f t="shared" si="3"/>
        <v>0</v>
      </c>
      <c r="O12" s="100">
        <v>45124</v>
      </c>
      <c r="P12" s="95">
        <v>4</v>
      </c>
      <c r="Q12" s="95" t="s">
        <v>122</v>
      </c>
      <c r="R12" s="95">
        <f t="shared" si="4"/>
        <v>4</v>
      </c>
      <c r="S12" s="95">
        <v>10</v>
      </c>
      <c r="T12" s="95" t="s">
        <v>243</v>
      </c>
      <c r="U12" s="121">
        <f t="shared" si="5"/>
        <v>10</v>
      </c>
    </row>
    <row r="13" spans="2:21" x14ac:dyDescent="0.25">
      <c r="B13" s="98">
        <v>45116</v>
      </c>
      <c r="C13" s="73">
        <v>21</v>
      </c>
      <c r="D13" s="73">
        <v>20</v>
      </c>
      <c r="E13" s="73">
        <f t="shared" si="0"/>
        <v>420</v>
      </c>
      <c r="F13" s="74">
        <v>26</v>
      </c>
      <c r="G13" s="74">
        <v>25</v>
      </c>
      <c r="H13" s="74">
        <f t="shared" si="1"/>
        <v>650</v>
      </c>
      <c r="I13" s="75">
        <v>2</v>
      </c>
      <c r="J13" s="75">
        <v>32</v>
      </c>
      <c r="K13" s="75">
        <f t="shared" si="2"/>
        <v>64</v>
      </c>
      <c r="L13" s="94">
        <v>2</v>
      </c>
      <c r="M13" s="94">
        <v>40</v>
      </c>
      <c r="N13" s="76">
        <f t="shared" si="3"/>
        <v>80</v>
      </c>
      <c r="O13" s="100">
        <v>45125</v>
      </c>
      <c r="P13" s="95">
        <v>6</v>
      </c>
      <c r="Q13" s="95" t="s">
        <v>214</v>
      </c>
      <c r="R13" s="95">
        <f t="shared" si="4"/>
        <v>6</v>
      </c>
      <c r="S13" s="95">
        <v>0</v>
      </c>
      <c r="T13" s="95">
        <v>0</v>
      </c>
      <c r="U13" s="121">
        <f t="shared" si="5"/>
        <v>0</v>
      </c>
    </row>
    <row r="14" spans="2:21" x14ac:dyDescent="0.25">
      <c r="B14" s="98">
        <v>45117</v>
      </c>
      <c r="C14" s="73">
        <v>28</v>
      </c>
      <c r="D14" s="73">
        <v>20</v>
      </c>
      <c r="E14" s="73">
        <f t="shared" si="0"/>
        <v>560</v>
      </c>
      <c r="F14" s="74">
        <v>24</v>
      </c>
      <c r="G14" s="74">
        <v>25</v>
      </c>
      <c r="H14" s="74">
        <f t="shared" si="1"/>
        <v>600</v>
      </c>
      <c r="I14" s="75">
        <v>0</v>
      </c>
      <c r="J14" s="75">
        <v>32</v>
      </c>
      <c r="K14" s="75">
        <f t="shared" si="2"/>
        <v>0</v>
      </c>
      <c r="L14" s="94">
        <v>2</v>
      </c>
      <c r="M14" s="94">
        <v>40</v>
      </c>
      <c r="N14" s="76">
        <f t="shared" si="3"/>
        <v>80</v>
      </c>
      <c r="O14" s="100">
        <v>45129</v>
      </c>
      <c r="P14" s="95">
        <v>6</v>
      </c>
      <c r="Q14" s="95" t="s">
        <v>250</v>
      </c>
      <c r="R14" s="95">
        <f t="shared" si="4"/>
        <v>6</v>
      </c>
      <c r="S14" s="95">
        <v>0</v>
      </c>
      <c r="T14" s="95">
        <v>0</v>
      </c>
      <c r="U14" s="121">
        <f t="shared" si="5"/>
        <v>0</v>
      </c>
    </row>
    <row r="15" spans="2:21" x14ac:dyDescent="0.25">
      <c r="B15" s="98">
        <v>45118</v>
      </c>
      <c r="C15" s="73">
        <v>23</v>
      </c>
      <c r="D15" s="73">
        <v>20</v>
      </c>
      <c r="E15" s="73">
        <f t="shared" si="0"/>
        <v>460</v>
      </c>
      <c r="F15" s="74">
        <v>17</v>
      </c>
      <c r="G15" s="74">
        <v>25</v>
      </c>
      <c r="H15" s="74">
        <f t="shared" si="1"/>
        <v>425</v>
      </c>
      <c r="I15" s="75">
        <v>3</v>
      </c>
      <c r="J15" s="75">
        <v>32</v>
      </c>
      <c r="K15" s="75">
        <f t="shared" si="2"/>
        <v>96</v>
      </c>
      <c r="L15" s="94">
        <v>0</v>
      </c>
      <c r="M15" s="94">
        <v>40</v>
      </c>
      <c r="N15" s="76">
        <f t="shared" si="3"/>
        <v>0</v>
      </c>
      <c r="O15" s="100">
        <v>45131</v>
      </c>
      <c r="P15" s="95">
        <v>10</v>
      </c>
      <c r="Q15" s="95" t="s">
        <v>252</v>
      </c>
      <c r="R15" s="95">
        <f t="shared" si="4"/>
        <v>10</v>
      </c>
      <c r="S15" s="95">
        <v>10</v>
      </c>
      <c r="T15" s="95" t="s">
        <v>253</v>
      </c>
      <c r="U15" s="121">
        <f t="shared" si="5"/>
        <v>10</v>
      </c>
    </row>
    <row r="16" spans="2:21" x14ac:dyDescent="0.25">
      <c r="B16" s="98">
        <v>45119</v>
      </c>
      <c r="C16" s="73">
        <v>24</v>
      </c>
      <c r="D16" s="73">
        <v>20</v>
      </c>
      <c r="E16" s="73">
        <f t="shared" si="0"/>
        <v>480</v>
      </c>
      <c r="F16" s="74">
        <v>21</v>
      </c>
      <c r="G16" s="74">
        <v>25</v>
      </c>
      <c r="H16" s="74">
        <f t="shared" si="1"/>
        <v>525</v>
      </c>
      <c r="I16" s="75">
        <v>0</v>
      </c>
      <c r="J16" s="75">
        <v>32</v>
      </c>
      <c r="K16" s="75">
        <f t="shared" si="2"/>
        <v>0</v>
      </c>
      <c r="L16" s="94">
        <v>4</v>
      </c>
      <c r="M16" s="94">
        <v>40</v>
      </c>
      <c r="N16" s="76">
        <f t="shared" si="3"/>
        <v>160</v>
      </c>
      <c r="O16" s="100">
        <v>45134</v>
      </c>
      <c r="P16" s="95"/>
      <c r="Q16" s="95"/>
      <c r="R16" s="95">
        <f t="shared" si="4"/>
        <v>0</v>
      </c>
      <c r="S16" s="95">
        <v>10</v>
      </c>
      <c r="T16" s="95" t="s">
        <v>253</v>
      </c>
      <c r="U16" s="121">
        <f t="shared" si="5"/>
        <v>10</v>
      </c>
    </row>
    <row r="17" spans="2:21" x14ac:dyDescent="0.25">
      <c r="B17" s="98">
        <v>45120</v>
      </c>
      <c r="C17" s="73">
        <f>3+19</f>
        <v>22</v>
      </c>
      <c r="D17" s="73">
        <v>20</v>
      </c>
      <c r="E17" s="73">
        <f t="shared" si="0"/>
        <v>440</v>
      </c>
      <c r="F17" s="74">
        <f>4+16</f>
        <v>20</v>
      </c>
      <c r="G17" s="74">
        <v>25</v>
      </c>
      <c r="H17" s="74">
        <f t="shared" si="1"/>
        <v>500</v>
      </c>
      <c r="I17" s="75">
        <v>1</v>
      </c>
      <c r="J17" s="75">
        <v>32</v>
      </c>
      <c r="K17" s="75">
        <f t="shared" si="2"/>
        <v>32</v>
      </c>
      <c r="L17" s="94">
        <v>7</v>
      </c>
      <c r="M17" s="94">
        <v>40</v>
      </c>
      <c r="N17" s="76">
        <f t="shared" si="3"/>
        <v>280</v>
      </c>
      <c r="O17" s="100">
        <v>45138</v>
      </c>
      <c r="P17" s="95">
        <v>10</v>
      </c>
      <c r="Q17" s="95" t="s">
        <v>287</v>
      </c>
      <c r="R17" s="95">
        <f t="shared" si="4"/>
        <v>10</v>
      </c>
      <c r="S17" s="95">
        <v>10</v>
      </c>
      <c r="T17" s="95" t="s">
        <v>253</v>
      </c>
      <c r="U17" s="121">
        <f t="shared" si="5"/>
        <v>10</v>
      </c>
    </row>
    <row r="18" spans="2:21" x14ac:dyDescent="0.25">
      <c r="B18" s="98">
        <v>45121</v>
      </c>
      <c r="C18" s="73">
        <v>13</v>
      </c>
      <c r="D18" s="73">
        <v>20</v>
      </c>
      <c r="E18" s="73">
        <f t="shared" si="0"/>
        <v>260</v>
      </c>
      <c r="F18" s="74">
        <v>12</v>
      </c>
      <c r="G18" s="74">
        <v>25</v>
      </c>
      <c r="H18" s="74">
        <f t="shared" si="1"/>
        <v>300</v>
      </c>
      <c r="I18" s="75">
        <v>0</v>
      </c>
      <c r="J18" s="75">
        <v>32</v>
      </c>
      <c r="K18" s="75">
        <f t="shared" si="2"/>
        <v>0</v>
      </c>
      <c r="L18" s="94">
        <v>0</v>
      </c>
      <c r="M18" s="94">
        <v>40</v>
      </c>
      <c r="N18" s="76">
        <f t="shared" si="3"/>
        <v>0</v>
      </c>
      <c r="O18" s="100"/>
      <c r="P18" s="95"/>
      <c r="Q18" s="95"/>
      <c r="R18" s="95">
        <f t="shared" si="4"/>
        <v>0</v>
      </c>
      <c r="S18" s="95"/>
      <c r="T18" s="95"/>
      <c r="U18" s="121">
        <f t="shared" si="5"/>
        <v>0</v>
      </c>
    </row>
    <row r="19" spans="2:21" x14ac:dyDescent="0.25">
      <c r="B19" s="98">
        <v>45122</v>
      </c>
      <c r="C19" s="73">
        <v>19</v>
      </c>
      <c r="D19" s="73">
        <v>20</v>
      </c>
      <c r="E19" s="73">
        <f t="shared" si="0"/>
        <v>380</v>
      </c>
      <c r="F19" s="74">
        <v>16</v>
      </c>
      <c r="G19" s="74">
        <v>25</v>
      </c>
      <c r="H19" s="74">
        <f t="shared" si="1"/>
        <v>400</v>
      </c>
      <c r="I19" s="75">
        <v>0</v>
      </c>
      <c r="J19" s="75">
        <v>32</v>
      </c>
      <c r="K19" s="75">
        <f t="shared" si="2"/>
        <v>0</v>
      </c>
      <c r="L19" s="94">
        <v>0</v>
      </c>
      <c r="M19" s="94">
        <v>40</v>
      </c>
      <c r="N19" s="76">
        <f t="shared" si="3"/>
        <v>0</v>
      </c>
      <c r="O19" s="100"/>
      <c r="P19" s="95"/>
      <c r="Q19" s="95"/>
      <c r="R19" s="95">
        <f t="shared" si="4"/>
        <v>0</v>
      </c>
      <c r="S19" s="95"/>
      <c r="T19" s="95"/>
      <c r="U19" s="121">
        <f t="shared" si="5"/>
        <v>0</v>
      </c>
    </row>
    <row r="20" spans="2:21" x14ac:dyDescent="0.25">
      <c r="B20" s="98">
        <v>45123</v>
      </c>
      <c r="C20" s="73">
        <f>5+20</f>
        <v>25</v>
      </c>
      <c r="D20" s="73">
        <v>20</v>
      </c>
      <c r="E20" s="73">
        <f t="shared" si="0"/>
        <v>500</v>
      </c>
      <c r="F20" s="74">
        <f>3+20</f>
        <v>23</v>
      </c>
      <c r="G20" s="74">
        <v>25</v>
      </c>
      <c r="H20" s="74">
        <f t="shared" si="1"/>
        <v>575</v>
      </c>
      <c r="I20" s="75">
        <f>1</f>
        <v>1</v>
      </c>
      <c r="J20" s="75">
        <v>32</v>
      </c>
      <c r="K20" s="75">
        <f t="shared" si="2"/>
        <v>32</v>
      </c>
      <c r="L20" s="94">
        <v>2</v>
      </c>
      <c r="M20" s="94">
        <v>40</v>
      </c>
      <c r="N20" s="76">
        <f t="shared" si="3"/>
        <v>80</v>
      </c>
      <c r="O20" s="100"/>
      <c r="P20" s="95"/>
      <c r="Q20" s="95"/>
      <c r="R20" s="95">
        <f t="shared" si="4"/>
        <v>0</v>
      </c>
      <c r="S20" s="95"/>
      <c r="T20" s="95"/>
      <c r="U20" s="121">
        <f t="shared" si="5"/>
        <v>0</v>
      </c>
    </row>
    <row r="21" spans="2:21" x14ac:dyDescent="0.25">
      <c r="B21" s="98">
        <v>45124</v>
      </c>
      <c r="C21" s="73">
        <f>8+16</f>
        <v>24</v>
      </c>
      <c r="D21" s="73">
        <v>20</v>
      </c>
      <c r="E21" s="73">
        <f t="shared" si="0"/>
        <v>480</v>
      </c>
      <c r="F21" s="74">
        <f>8+10</f>
        <v>18</v>
      </c>
      <c r="G21" s="74">
        <v>25</v>
      </c>
      <c r="H21" s="74">
        <f t="shared" si="1"/>
        <v>450</v>
      </c>
      <c r="I21" s="75">
        <v>1</v>
      </c>
      <c r="J21" s="75">
        <v>32</v>
      </c>
      <c r="K21" s="75">
        <f t="shared" si="2"/>
        <v>32</v>
      </c>
      <c r="L21" s="94">
        <f>2+2</f>
        <v>4</v>
      </c>
      <c r="M21" s="94">
        <v>40</v>
      </c>
      <c r="N21" s="76">
        <f t="shared" si="3"/>
        <v>160</v>
      </c>
      <c r="O21" s="100"/>
      <c r="P21" s="95"/>
      <c r="Q21" s="95"/>
      <c r="R21" s="95">
        <f t="shared" si="4"/>
        <v>0</v>
      </c>
      <c r="S21" s="95"/>
      <c r="T21" s="95"/>
      <c r="U21" s="121">
        <f t="shared" si="5"/>
        <v>0</v>
      </c>
    </row>
    <row r="22" spans="2:21" x14ac:dyDescent="0.25">
      <c r="B22" s="98">
        <v>45125</v>
      </c>
      <c r="C22" s="73">
        <f>14+8</f>
        <v>22</v>
      </c>
      <c r="D22" s="73">
        <v>20</v>
      </c>
      <c r="E22" s="73">
        <f t="shared" si="0"/>
        <v>440</v>
      </c>
      <c r="F22" s="74">
        <f>12+24</f>
        <v>36</v>
      </c>
      <c r="G22" s="74">
        <v>25</v>
      </c>
      <c r="H22" s="74">
        <f t="shared" si="1"/>
        <v>900</v>
      </c>
      <c r="I22" s="75">
        <v>1</v>
      </c>
      <c r="J22" s="75">
        <v>32</v>
      </c>
      <c r="K22" s="75">
        <f t="shared" si="2"/>
        <v>32</v>
      </c>
      <c r="L22" s="94">
        <f>2+1</f>
        <v>3</v>
      </c>
      <c r="M22" s="94">
        <v>40</v>
      </c>
      <c r="N22" s="76">
        <f t="shared" si="3"/>
        <v>120</v>
      </c>
      <c r="O22" s="100"/>
      <c r="P22" s="95"/>
      <c r="Q22" s="95"/>
      <c r="R22" s="95">
        <f t="shared" si="4"/>
        <v>0</v>
      </c>
      <c r="S22" s="95"/>
      <c r="T22" s="95"/>
      <c r="U22" s="121">
        <f t="shared" si="5"/>
        <v>0</v>
      </c>
    </row>
    <row r="23" spans="2:21" x14ac:dyDescent="0.25">
      <c r="B23" s="98">
        <v>45126</v>
      </c>
      <c r="C23" s="73">
        <v>25</v>
      </c>
      <c r="D23" s="73">
        <v>20</v>
      </c>
      <c r="E23" s="73">
        <f t="shared" si="0"/>
        <v>500</v>
      </c>
      <c r="F23" s="74">
        <v>14</v>
      </c>
      <c r="G23" s="74">
        <v>25</v>
      </c>
      <c r="H23" s="74">
        <f t="shared" si="1"/>
        <v>350</v>
      </c>
      <c r="I23" s="75">
        <v>1</v>
      </c>
      <c r="J23" s="75">
        <v>32</v>
      </c>
      <c r="K23" s="75">
        <f t="shared" si="2"/>
        <v>32</v>
      </c>
      <c r="L23" s="94">
        <v>2</v>
      </c>
      <c r="M23" s="94">
        <v>40</v>
      </c>
      <c r="N23" s="76">
        <f t="shared" si="3"/>
        <v>80</v>
      </c>
      <c r="O23" s="100"/>
      <c r="P23" s="95"/>
      <c r="Q23" s="95"/>
      <c r="R23" s="95">
        <f t="shared" si="4"/>
        <v>0</v>
      </c>
      <c r="S23" s="95"/>
      <c r="T23" s="95"/>
      <c r="U23" s="121">
        <f t="shared" si="5"/>
        <v>0</v>
      </c>
    </row>
    <row r="24" spans="2:21" x14ac:dyDescent="0.25">
      <c r="B24" s="98">
        <v>45127</v>
      </c>
      <c r="C24" s="73">
        <v>21</v>
      </c>
      <c r="D24" s="73">
        <v>20</v>
      </c>
      <c r="E24" s="73">
        <f t="shared" si="0"/>
        <v>420</v>
      </c>
      <c r="F24" s="74">
        <v>18</v>
      </c>
      <c r="G24" s="74">
        <v>25</v>
      </c>
      <c r="H24" s="74">
        <f t="shared" si="1"/>
        <v>450</v>
      </c>
      <c r="I24" s="75">
        <v>3</v>
      </c>
      <c r="J24" s="75">
        <v>32</v>
      </c>
      <c r="K24" s="75">
        <f t="shared" si="2"/>
        <v>96</v>
      </c>
      <c r="L24" s="94">
        <v>15</v>
      </c>
      <c r="M24" s="94">
        <v>40</v>
      </c>
      <c r="N24" s="76">
        <f t="shared" si="3"/>
        <v>600</v>
      </c>
      <c r="O24" s="100"/>
      <c r="P24" s="95"/>
      <c r="Q24" s="95"/>
      <c r="R24" s="95">
        <f t="shared" si="4"/>
        <v>0</v>
      </c>
      <c r="S24" s="95"/>
      <c r="T24" s="95"/>
      <c r="U24" s="121">
        <f t="shared" si="5"/>
        <v>0</v>
      </c>
    </row>
    <row r="25" spans="2:21" x14ac:dyDescent="0.25">
      <c r="B25" s="98">
        <v>45128</v>
      </c>
      <c r="C25" s="73">
        <v>14</v>
      </c>
      <c r="D25" s="73">
        <v>20</v>
      </c>
      <c r="E25" s="73">
        <f t="shared" si="0"/>
        <v>280</v>
      </c>
      <c r="F25" s="74">
        <v>16</v>
      </c>
      <c r="G25" s="74">
        <v>25</v>
      </c>
      <c r="H25" s="74">
        <f t="shared" si="1"/>
        <v>400</v>
      </c>
      <c r="I25" s="75">
        <v>0</v>
      </c>
      <c r="J25" s="75">
        <v>32</v>
      </c>
      <c r="K25" s="75">
        <f t="shared" si="2"/>
        <v>0</v>
      </c>
      <c r="L25" s="94">
        <v>0</v>
      </c>
      <c r="M25" s="94">
        <v>40</v>
      </c>
      <c r="N25" s="76">
        <f t="shared" si="3"/>
        <v>0</v>
      </c>
      <c r="O25" s="100"/>
      <c r="P25" s="95"/>
      <c r="Q25" s="95"/>
      <c r="R25" s="95">
        <f t="shared" si="4"/>
        <v>0</v>
      </c>
      <c r="S25" s="95"/>
      <c r="T25" s="95"/>
      <c r="U25" s="121">
        <f t="shared" si="5"/>
        <v>0</v>
      </c>
    </row>
    <row r="26" spans="2:21" x14ac:dyDescent="0.25">
      <c r="B26" s="98">
        <v>45129</v>
      </c>
      <c r="C26" s="73">
        <v>21</v>
      </c>
      <c r="D26" s="73">
        <v>20</v>
      </c>
      <c r="E26" s="73">
        <f t="shared" si="0"/>
        <v>420</v>
      </c>
      <c r="F26" s="74">
        <v>14</v>
      </c>
      <c r="G26" s="74">
        <v>25</v>
      </c>
      <c r="H26" s="74">
        <f t="shared" si="1"/>
        <v>350</v>
      </c>
      <c r="I26" s="75">
        <v>0</v>
      </c>
      <c r="J26" s="75">
        <v>32</v>
      </c>
      <c r="K26" s="75">
        <f t="shared" si="2"/>
        <v>0</v>
      </c>
      <c r="L26" s="94">
        <v>5</v>
      </c>
      <c r="M26" s="94">
        <v>40</v>
      </c>
      <c r="N26" s="76">
        <f t="shared" si="3"/>
        <v>200</v>
      </c>
      <c r="O26" s="100"/>
      <c r="P26" s="95"/>
      <c r="Q26" s="95"/>
      <c r="R26" s="95">
        <f t="shared" si="4"/>
        <v>0</v>
      </c>
      <c r="S26" s="95"/>
      <c r="T26" s="95"/>
      <c r="U26" s="121">
        <f t="shared" si="5"/>
        <v>0</v>
      </c>
    </row>
    <row r="27" spans="2:21" x14ac:dyDescent="0.25">
      <c r="B27" s="98">
        <v>45130</v>
      </c>
      <c r="C27" s="73">
        <v>28</v>
      </c>
      <c r="D27" s="73">
        <v>20</v>
      </c>
      <c r="E27" s="73">
        <f t="shared" si="0"/>
        <v>560</v>
      </c>
      <c r="F27" s="74">
        <v>15</v>
      </c>
      <c r="G27" s="74">
        <v>25</v>
      </c>
      <c r="H27" s="74">
        <f t="shared" si="1"/>
        <v>375</v>
      </c>
      <c r="I27" s="75">
        <v>1</v>
      </c>
      <c r="J27" s="75">
        <v>32</v>
      </c>
      <c r="K27" s="75">
        <f t="shared" si="2"/>
        <v>32</v>
      </c>
      <c r="L27" s="94">
        <v>0</v>
      </c>
      <c r="M27" s="94">
        <v>40</v>
      </c>
      <c r="N27" s="76">
        <f t="shared" si="3"/>
        <v>0</v>
      </c>
      <c r="O27" s="100"/>
      <c r="P27" s="95"/>
      <c r="Q27" s="95"/>
      <c r="R27" s="95">
        <f t="shared" si="4"/>
        <v>0</v>
      </c>
      <c r="S27" s="95"/>
      <c r="T27" s="95"/>
      <c r="U27" s="121">
        <f t="shared" si="5"/>
        <v>0</v>
      </c>
    </row>
    <row r="28" spans="2:21" x14ac:dyDescent="0.25">
      <c r="B28" s="98">
        <v>45131</v>
      </c>
      <c r="C28" s="73">
        <v>27</v>
      </c>
      <c r="D28" s="73">
        <v>20</v>
      </c>
      <c r="E28" s="73">
        <f t="shared" si="0"/>
        <v>540</v>
      </c>
      <c r="F28" s="74">
        <v>23</v>
      </c>
      <c r="G28" s="74">
        <v>25</v>
      </c>
      <c r="H28" s="74">
        <f t="shared" si="1"/>
        <v>575</v>
      </c>
      <c r="I28" s="75">
        <v>1</v>
      </c>
      <c r="J28" s="75">
        <v>32</v>
      </c>
      <c r="K28" s="75">
        <f t="shared" si="2"/>
        <v>32</v>
      </c>
      <c r="L28" s="94">
        <v>15</v>
      </c>
      <c r="M28" s="94">
        <v>40</v>
      </c>
      <c r="N28" s="76">
        <f t="shared" si="3"/>
        <v>600</v>
      </c>
      <c r="O28" s="100"/>
      <c r="P28" s="95"/>
      <c r="Q28" s="95"/>
      <c r="R28" s="95">
        <f t="shared" si="4"/>
        <v>0</v>
      </c>
      <c r="S28" s="95"/>
      <c r="T28" s="95"/>
      <c r="U28" s="121">
        <f t="shared" si="5"/>
        <v>0</v>
      </c>
    </row>
    <row r="29" spans="2:21" x14ac:dyDescent="0.25">
      <c r="B29" s="98">
        <v>45132</v>
      </c>
      <c r="C29" s="73">
        <v>18</v>
      </c>
      <c r="D29" s="73">
        <v>20</v>
      </c>
      <c r="E29" s="73">
        <f t="shared" si="0"/>
        <v>360</v>
      </c>
      <c r="F29" s="74">
        <v>25</v>
      </c>
      <c r="G29" s="74">
        <v>25</v>
      </c>
      <c r="H29" s="74">
        <f t="shared" si="1"/>
        <v>625</v>
      </c>
      <c r="I29" s="75">
        <v>0</v>
      </c>
      <c r="J29" s="75">
        <v>32</v>
      </c>
      <c r="K29" s="75">
        <f t="shared" si="2"/>
        <v>0</v>
      </c>
      <c r="L29" s="94">
        <v>2</v>
      </c>
      <c r="M29" s="94">
        <v>40</v>
      </c>
      <c r="N29" s="76">
        <f t="shared" si="3"/>
        <v>80</v>
      </c>
      <c r="O29" s="100"/>
      <c r="P29" s="95"/>
      <c r="Q29" s="95"/>
      <c r="R29" s="95">
        <f t="shared" si="4"/>
        <v>0</v>
      </c>
      <c r="S29" s="95"/>
      <c r="T29" s="95"/>
      <c r="U29" s="121">
        <f t="shared" si="5"/>
        <v>0</v>
      </c>
    </row>
    <row r="30" spans="2:21" x14ac:dyDescent="0.25">
      <c r="B30" s="98">
        <v>45133</v>
      </c>
      <c r="C30" s="73">
        <v>21</v>
      </c>
      <c r="D30" s="73">
        <v>20</v>
      </c>
      <c r="E30" s="73">
        <f t="shared" si="0"/>
        <v>420</v>
      </c>
      <c r="F30" s="74">
        <v>20</v>
      </c>
      <c r="G30" s="74">
        <v>25</v>
      </c>
      <c r="H30" s="74">
        <f t="shared" si="1"/>
        <v>500</v>
      </c>
      <c r="I30" s="75">
        <v>1</v>
      </c>
      <c r="J30" s="75">
        <v>32</v>
      </c>
      <c r="K30" s="75">
        <f t="shared" si="2"/>
        <v>32</v>
      </c>
      <c r="L30" s="94">
        <v>4</v>
      </c>
      <c r="M30" s="94">
        <v>40</v>
      </c>
      <c r="N30" s="76">
        <f t="shared" si="3"/>
        <v>160</v>
      </c>
      <c r="O30" s="100"/>
      <c r="P30" s="95"/>
      <c r="Q30" s="95"/>
      <c r="R30" s="95">
        <f t="shared" si="4"/>
        <v>0</v>
      </c>
      <c r="S30" s="95"/>
      <c r="T30" s="95"/>
      <c r="U30" s="121">
        <f t="shared" si="5"/>
        <v>0</v>
      </c>
    </row>
    <row r="31" spans="2:21" x14ac:dyDescent="0.25">
      <c r="B31" s="98">
        <v>45134</v>
      </c>
      <c r="C31" s="73">
        <v>22</v>
      </c>
      <c r="D31" s="73">
        <v>20</v>
      </c>
      <c r="E31" s="73">
        <f t="shared" si="0"/>
        <v>440</v>
      </c>
      <c r="F31" s="74">
        <v>18</v>
      </c>
      <c r="G31" s="74">
        <v>25</v>
      </c>
      <c r="H31" s="74">
        <f t="shared" si="1"/>
        <v>450</v>
      </c>
      <c r="I31" s="75">
        <v>0</v>
      </c>
      <c r="J31" s="75">
        <v>32</v>
      </c>
      <c r="K31" s="75">
        <f t="shared" si="2"/>
        <v>0</v>
      </c>
      <c r="L31" s="94">
        <v>6</v>
      </c>
      <c r="M31" s="94">
        <v>40</v>
      </c>
      <c r="N31" s="76">
        <f t="shared" si="3"/>
        <v>240</v>
      </c>
      <c r="O31" s="100"/>
      <c r="P31" s="95"/>
      <c r="Q31" s="95"/>
      <c r="R31" s="95">
        <f t="shared" si="4"/>
        <v>0</v>
      </c>
      <c r="S31" s="95"/>
      <c r="T31" s="95"/>
      <c r="U31" s="121">
        <f t="shared" si="5"/>
        <v>0</v>
      </c>
    </row>
    <row r="32" spans="2:21" x14ac:dyDescent="0.25">
      <c r="B32" s="98">
        <v>45135</v>
      </c>
      <c r="C32" s="73">
        <v>16</v>
      </c>
      <c r="D32" s="73">
        <v>20</v>
      </c>
      <c r="E32" s="73">
        <f t="shared" si="0"/>
        <v>320</v>
      </c>
      <c r="F32" s="74">
        <v>16</v>
      </c>
      <c r="G32" s="74">
        <v>25</v>
      </c>
      <c r="H32" s="74">
        <f t="shared" si="1"/>
        <v>400</v>
      </c>
      <c r="I32" s="75">
        <v>1</v>
      </c>
      <c r="J32" s="75">
        <v>32</v>
      </c>
      <c r="K32" s="75">
        <f t="shared" si="2"/>
        <v>32</v>
      </c>
      <c r="L32" s="94">
        <v>1</v>
      </c>
      <c r="M32" s="94">
        <v>40</v>
      </c>
      <c r="N32" s="76">
        <f t="shared" si="3"/>
        <v>40</v>
      </c>
      <c r="O32" s="100"/>
      <c r="P32" s="95"/>
      <c r="Q32" s="95"/>
      <c r="R32" s="95">
        <f t="shared" si="4"/>
        <v>0</v>
      </c>
      <c r="S32" s="95"/>
      <c r="T32" s="95"/>
      <c r="U32" s="121">
        <f t="shared" si="5"/>
        <v>0</v>
      </c>
    </row>
    <row r="33" spans="2:21" x14ac:dyDescent="0.25">
      <c r="B33" s="98">
        <v>45136</v>
      </c>
      <c r="C33" s="73">
        <v>18</v>
      </c>
      <c r="D33" s="73">
        <v>20</v>
      </c>
      <c r="E33" s="73">
        <f t="shared" si="0"/>
        <v>360</v>
      </c>
      <c r="F33" s="74">
        <v>24</v>
      </c>
      <c r="G33" s="74">
        <v>25</v>
      </c>
      <c r="H33" s="74">
        <f t="shared" si="1"/>
        <v>600</v>
      </c>
      <c r="I33" s="75">
        <v>0</v>
      </c>
      <c r="J33" s="75">
        <v>32</v>
      </c>
      <c r="K33" s="75">
        <f t="shared" si="2"/>
        <v>0</v>
      </c>
      <c r="L33" s="94">
        <v>4</v>
      </c>
      <c r="M33" s="94">
        <v>40</v>
      </c>
      <c r="N33" s="76">
        <f t="shared" si="3"/>
        <v>160</v>
      </c>
      <c r="O33" s="100"/>
      <c r="P33" s="95"/>
      <c r="Q33" s="95"/>
      <c r="R33" s="95">
        <f t="shared" si="4"/>
        <v>0</v>
      </c>
      <c r="S33" s="95"/>
      <c r="T33" s="95"/>
      <c r="U33" s="121">
        <f t="shared" si="5"/>
        <v>0</v>
      </c>
    </row>
    <row r="34" spans="2:21" x14ac:dyDescent="0.25">
      <c r="B34" s="98">
        <v>45137</v>
      </c>
      <c r="C34" s="78">
        <v>20</v>
      </c>
      <c r="D34" s="78">
        <v>20</v>
      </c>
      <c r="E34" s="78">
        <f t="shared" si="0"/>
        <v>400</v>
      </c>
      <c r="F34" s="79">
        <v>25</v>
      </c>
      <c r="G34" s="79">
        <v>25</v>
      </c>
      <c r="H34" s="79">
        <f t="shared" si="1"/>
        <v>625</v>
      </c>
      <c r="I34" s="80">
        <v>0</v>
      </c>
      <c r="J34" s="80">
        <v>32</v>
      </c>
      <c r="K34" s="80">
        <f t="shared" si="2"/>
        <v>0</v>
      </c>
      <c r="L34" s="96">
        <v>4</v>
      </c>
      <c r="M34" s="96">
        <v>40</v>
      </c>
      <c r="N34" s="81">
        <f t="shared" si="3"/>
        <v>160</v>
      </c>
      <c r="O34" s="100"/>
      <c r="P34" s="95"/>
      <c r="Q34" s="95"/>
      <c r="R34" s="95">
        <f t="shared" si="4"/>
        <v>0</v>
      </c>
      <c r="S34" s="95"/>
      <c r="T34" s="95"/>
      <c r="U34" s="121">
        <f t="shared" si="5"/>
        <v>0</v>
      </c>
    </row>
    <row r="35" spans="2:21" x14ac:dyDescent="0.25">
      <c r="B35" s="98">
        <v>45138</v>
      </c>
      <c r="C35" s="78">
        <v>22</v>
      </c>
      <c r="D35" s="78">
        <v>20</v>
      </c>
      <c r="E35" s="78">
        <f t="shared" si="0"/>
        <v>440</v>
      </c>
      <c r="F35" s="79">
        <v>40</v>
      </c>
      <c r="G35" s="79">
        <v>25</v>
      </c>
      <c r="H35" s="79">
        <f t="shared" si="1"/>
        <v>1000</v>
      </c>
      <c r="I35" s="80">
        <v>1</v>
      </c>
      <c r="J35" s="80">
        <v>32</v>
      </c>
      <c r="K35" s="80">
        <f t="shared" si="2"/>
        <v>32</v>
      </c>
      <c r="L35" s="96">
        <v>9</v>
      </c>
      <c r="M35" s="96">
        <v>40</v>
      </c>
      <c r="N35" s="81">
        <f t="shared" si="3"/>
        <v>360</v>
      </c>
      <c r="O35" s="100"/>
      <c r="P35" s="95"/>
      <c r="Q35" s="95"/>
      <c r="R35" s="95"/>
      <c r="S35" s="95"/>
      <c r="T35" s="95"/>
      <c r="U35" s="121"/>
    </row>
    <row r="36" spans="2:21" ht="26.25" customHeight="1" x14ac:dyDescent="0.35">
      <c r="B36" s="82" t="s">
        <v>76</v>
      </c>
      <c r="C36" s="82">
        <f>SUM(C5:C35)</f>
        <v>655</v>
      </c>
      <c r="D36" s="82">
        <v>0</v>
      </c>
      <c r="E36" s="97">
        <f>SUM(E5:E35)</f>
        <v>13100</v>
      </c>
      <c r="F36" s="97">
        <f>SUM(F5:F35)</f>
        <v>635</v>
      </c>
      <c r="G36" s="97"/>
      <c r="H36" s="97">
        <f>SUM(H5:H35)</f>
        <v>15875</v>
      </c>
      <c r="I36" s="97">
        <f>SUM(I5:I35)</f>
        <v>25</v>
      </c>
      <c r="J36" s="97"/>
      <c r="K36" s="97">
        <f>SUM(K5:K35)</f>
        <v>800</v>
      </c>
      <c r="L36" s="97">
        <f>SUM(L5:L35)</f>
        <v>102</v>
      </c>
      <c r="M36" s="97"/>
      <c r="N36" s="97">
        <f>SUM(N5:N35)</f>
        <v>4080</v>
      </c>
      <c r="O36" s="97"/>
      <c r="P36" s="97"/>
      <c r="Q36" s="97"/>
      <c r="R36" s="97">
        <f>SUM(R5:R34)</f>
        <v>68</v>
      </c>
      <c r="S36" s="97"/>
      <c r="T36" s="97"/>
      <c r="U36" s="97">
        <f>SUM(U5:U34)</f>
        <v>68</v>
      </c>
    </row>
    <row r="37" spans="2:21" ht="15" customHeight="1" x14ac:dyDescent="0.25">
      <c r="B37" s="77"/>
      <c r="C37" s="77"/>
      <c r="D37" s="77"/>
    </row>
    <row r="39" spans="2:21" x14ac:dyDescent="0.25">
      <c r="B39" s="99">
        <f>C36+F36+I36+L36</f>
        <v>1417</v>
      </c>
      <c r="C39" t="s">
        <v>80</v>
      </c>
    </row>
    <row r="40" spans="2:21" x14ac:dyDescent="0.25">
      <c r="B40" s="111">
        <f>U36*13</f>
        <v>884</v>
      </c>
      <c r="C40" t="s">
        <v>81</v>
      </c>
      <c r="E40" s="156" t="s">
        <v>69</v>
      </c>
      <c r="F40" s="156"/>
      <c r="H40" s="156" t="s">
        <v>61</v>
      </c>
      <c r="I40" s="156"/>
    </row>
    <row r="41" spans="2:21" x14ac:dyDescent="0.25">
      <c r="B41" s="112">
        <f>B39-B40</f>
        <v>533</v>
      </c>
      <c r="E41" s="99" t="s">
        <v>111</v>
      </c>
      <c r="F41" s="99">
        <f>C36+I36</f>
        <v>680</v>
      </c>
      <c r="H41" s="99" t="s">
        <v>111</v>
      </c>
      <c r="I41" s="99">
        <f>F36+L36</f>
        <v>737</v>
      </c>
    </row>
    <row r="42" spans="2:21" x14ac:dyDescent="0.25">
      <c r="E42" s="111" t="s">
        <v>112</v>
      </c>
      <c r="F42" s="111">
        <f>R36*13</f>
        <v>884</v>
      </c>
      <c r="H42" s="111" t="s">
        <v>112</v>
      </c>
      <c r="I42" s="111">
        <f>U36*13</f>
        <v>884</v>
      </c>
    </row>
    <row r="43" spans="2:21" x14ac:dyDescent="0.25">
      <c r="E43" s="112" t="s">
        <v>113</v>
      </c>
      <c r="F43" s="112">
        <f>F42-F41</f>
        <v>204</v>
      </c>
      <c r="H43" s="112" t="s">
        <v>113</v>
      </c>
      <c r="I43" s="112">
        <f>I42-I41</f>
        <v>147</v>
      </c>
    </row>
    <row r="44" spans="2:21" ht="30" x14ac:dyDescent="0.25">
      <c r="E44" s="123" t="s">
        <v>155</v>
      </c>
      <c r="F44" s="127"/>
      <c r="H44" s="123" t="s">
        <v>155</v>
      </c>
      <c r="I44" s="127"/>
    </row>
    <row r="45" spans="2:21" x14ac:dyDescent="0.25">
      <c r="E45" t="s">
        <v>114</v>
      </c>
      <c r="F45" s="124"/>
      <c r="H45" t="s">
        <v>114</v>
      </c>
    </row>
    <row r="46" spans="2:21" x14ac:dyDescent="0.25">
      <c r="E46" t="s">
        <v>160</v>
      </c>
      <c r="F46" s="122"/>
      <c r="H46" t="s">
        <v>161</v>
      </c>
      <c r="I46" s="122"/>
    </row>
    <row r="47" spans="2:21" ht="15.75" x14ac:dyDescent="0.25">
      <c r="E47" s="130"/>
      <c r="H47" s="130"/>
    </row>
    <row r="48" spans="2:21" ht="15.75" x14ac:dyDescent="0.25">
      <c r="E48" s="130"/>
      <c r="H48" s="130"/>
    </row>
  </sheetData>
  <mergeCells count="9">
    <mergeCell ref="E40:F40"/>
    <mergeCell ref="H40:I40"/>
    <mergeCell ref="P3:U3"/>
    <mergeCell ref="B3:B4"/>
    <mergeCell ref="O3:O4"/>
    <mergeCell ref="C3:E3"/>
    <mergeCell ref="F3:H3"/>
    <mergeCell ref="I3:K3"/>
    <mergeCell ref="L3:N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8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"/>
  <sheetViews>
    <sheetView showGridLines="0" rightToLeft="1" topLeftCell="A4" workbookViewId="0">
      <selection activeCell="K13" sqref="K13"/>
    </sheetView>
  </sheetViews>
  <sheetFormatPr defaultRowHeight="15" x14ac:dyDescent="0.25"/>
  <cols>
    <col min="2" max="2" width="16" customWidth="1"/>
    <col min="3" max="4" width="12.7109375" customWidth="1"/>
    <col min="5" max="5" width="17.42578125" customWidth="1"/>
    <col min="6" max="6" width="16.140625" customWidth="1"/>
    <col min="7" max="7" width="25.85546875" customWidth="1"/>
    <col min="8" max="8" width="28.42578125" customWidth="1"/>
  </cols>
  <sheetData>
    <row r="2" spans="2:8" x14ac:dyDescent="0.25">
      <c r="B2" s="169" t="s">
        <v>54</v>
      </c>
      <c r="C2" s="169"/>
      <c r="D2" s="169"/>
      <c r="E2" s="169"/>
    </row>
    <row r="3" spans="2:8" x14ac:dyDescent="0.25">
      <c r="B3" s="169"/>
      <c r="C3" s="169"/>
      <c r="D3" s="169"/>
      <c r="E3" s="169"/>
      <c r="F3" s="170" t="s">
        <v>55</v>
      </c>
      <c r="G3" s="170"/>
      <c r="H3" s="170"/>
    </row>
    <row r="4" spans="2:8" x14ac:dyDescent="0.25">
      <c r="B4" s="169"/>
      <c r="C4" s="169"/>
      <c r="D4" s="169"/>
      <c r="E4" s="169"/>
      <c r="F4" s="170"/>
      <c r="G4" s="170"/>
      <c r="H4" s="170"/>
    </row>
    <row r="5" spans="2:8" x14ac:dyDescent="0.25">
      <c r="B5" s="169"/>
      <c r="C5" s="169"/>
      <c r="D5" s="169"/>
      <c r="E5" s="169"/>
      <c r="F5" s="170"/>
      <c r="G5" s="170"/>
      <c r="H5" s="170"/>
    </row>
    <row r="6" spans="2:8" ht="15.75" thickBot="1" x14ac:dyDescent="0.3">
      <c r="B6" s="39">
        <f ca="1">TODAY()</f>
        <v>45141</v>
      </c>
    </row>
    <row r="7" spans="2:8" ht="30" customHeight="1" x14ac:dyDescent="0.25">
      <c r="B7" s="49" t="s">
        <v>47</v>
      </c>
      <c r="C7" s="50" t="s">
        <v>48</v>
      </c>
      <c r="D7" s="50" t="s">
        <v>49</v>
      </c>
      <c r="E7" s="50" t="s">
        <v>52</v>
      </c>
      <c r="F7" s="50" t="s">
        <v>53</v>
      </c>
      <c r="G7" s="50" t="s">
        <v>50</v>
      </c>
      <c r="H7" s="51" t="s">
        <v>51</v>
      </c>
    </row>
    <row r="8" spans="2:8" x14ac:dyDescent="0.25">
      <c r="B8" s="52"/>
      <c r="C8" s="48"/>
      <c r="D8" s="48"/>
      <c r="E8" s="48"/>
      <c r="F8" s="48"/>
      <c r="G8" s="48"/>
      <c r="H8" s="53"/>
    </row>
    <row r="9" spans="2:8" x14ac:dyDescent="0.25">
      <c r="B9" s="52"/>
      <c r="C9" s="48"/>
      <c r="D9" s="48"/>
      <c r="E9" s="48"/>
      <c r="F9" s="48"/>
      <c r="G9" s="48"/>
      <c r="H9" s="53"/>
    </row>
    <row r="10" spans="2:8" x14ac:dyDescent="0.25">
      <c r="B10" s="52"/>
      <c r="C10" s="48"/>
      <c r="D10" s="48"/>
      <c r="E10" s="48"/>
      <c r="F10" s="48"/>
      <c r="G10" s="48"/>
      <c r="H10" s="53"/>
    </row>
    <row r="11" spans="2:8" x14ac:dyDescent="0.25">
      <c r="B11" s="52"/>
      <c r="C11" s="48"/>
      <c r="D11" s="48"/>
      <c r="E11" s="48"/>
      <c r="F11" s="48"/>
      <c r="G11" s="48"/>
      <c r="H11" s="53"/>
    </row>
    <row r="12" spans="2:8" x14ac:dyDescent="0.25">
      <c r="B12" s="52"/>
      <c r="C12" s="48"/>
      <c r="D12" s="48"/>
      <c r="E12" s="48"/>
      <c r="F12" s="48"/>
      <c r="G12" s="48"/>
      <c r="H12" s="53"/>
    </row>
    <row r="13" spans="2:8" x14ac:dyDescent="0.25">
      <c r="B13" s="52"/>
      <c r="C13" s="48"/>
      <c r="D13" s="48"/>
      <c r="E13" s="48"/>
      <c r="F13" s="48"/>
      <c r="G13" s="48"/>
      <c r="H13" s="53"/>
    </row>
    <row r="14" spans="2:8" x14ac:dyDescent="0.25">
      <c r="B14" s="52"/>
      <c r="C14" s="48"/>
      <c r="D14" s="48"/>
      <c r="E14" s="48"/>
      <c r="F14" s="48"/>
      <c r="G14" s="48"/>
      <c r="H14" s="53"/>
    </row>
    <row r="15" spans="2:8" x14ac:dyDescent="0.25">
      <c r="B15" s="52"/>
      <c r="C15" s="48"/>
      <c r="D15" s="48"/>
      <c r="E15" s="48"/>
      <c r="F15" s="48"/>
      <c r="G15" s="48"/>
      <c r="H15" s="53"/>
    </row>
    <row r="16" spans="2:8" x14ac:dyDescent="0.25">
      <c r="B16" s="52"/>
      <c r="C16" s="48"/>
      <c r="D16" s="48"/>
      <c r="E16" s="48"/>
      <c r="F16" s="48"/>
      <c r="G16" s="48"/>
      <c r="H16" s="53"/>
    </row>
    <row r="17" spans="2:8" x14ac:dyDescent="0.25">
      <c r="B17" s="52"/>
      <c r="C17" s="48"/>
      <c r="D17" s="48"/>
      <c r="E17" s="48"/>
      <c r="F17" s="48"/>
      <c r="G17" s="48"/>
      <c r="H17" s="53"/>
    </row>
    <row r="18" spans="2:8" x14ac:dyDescent="0.25">
      <c r="B18" s="52"/>
      <c r="C18" s="48"/>
      <c r="D18" s="48"/>
      <c r="E18" s="48"/>
      <c r="F18" s="48"/>
      <c r="G18" s="48"/>
      <c r="H18" s="53"/>
    </row>
    <row r="19" spans="2:8" x14ac:dyDescent="0.25">
      <c r="B19" s="52"/>
      <c r="C19" s="48"/>
      <c r="D19" s="48"/>
      <c r="E19" s="48"/>
      <c r="F19" s="48"/>
      <c r="G19" s="48"/>
      <c r="H19" s="53"/>
    </row>
    <row r="20" spans="2:8" x14ac:dyDescent="0.25">
      <c r="B20" s="52"/>
      <c r="C20" s="48"/>
      <c r="D20" s="48"/>
      <c r="E20" s="48"/>
      <c r="F20" s="48"/>
      <c r="G20" s="48"/>
      <c r="H20" s="53"/>
    </row>
    <row r="21" spans="2:8" x14ac:dyDescent="0.25">
      <c r="B21" s="52"/>
      <c r="C21" s="48"/>
      <c r="D21" s="48"/>
      <c r="E21" s="48"/>
      <c r="F21" s="48"/>
      <c r="G21" s="48"/>
      <c r="H21" s="53"/>
    </row>
    <row r="22" spans="2:8" ht="15.75" thickBot="1" x14ac:dyDescent="0.3">
      <c r="B22" s="54"/>
      <c r="C22" s="55"/>
      <c r="D22" s="55"/>
      <c r="E22" s="55"/>
      <c r="F22" s="55"/>
      <c r="G22" s="55"/>
      <c r="H22" s="56"/>
    </row>
  </sheetData>
  <mergeCells count="2">
    <mergeCell ref="B2:E5"/>
    <mergeCell ref="F3:H5"/>
  </mergeCells>
  <pageMargins left="0.7" right="0.7" top="0.75" bottom="0.75" header="0.3" footer="0.3"/>
  <pageSetup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9"/>
  <sheetViews>
    <sheetView showGridLines="0" rightToLeft="1" topLeftCell="A16" workbookViewId="0">
      <selection activeCell="B26" sqref="B26"/>
    </sheetView>
  </sheetViews>
  <sheetFormatPr defaultRowHeight="15" x14ac:dyDescent="0.25"/>
  <cols>
    <col min="2" max="2" width="16" customWidth="1"/>
    <col min="3" max="3" width="12.7109375" customWidth="1"/>
    <col min="4" max="5" width="17.42578125" customWidth="1"/>
    <col min="6" max="7" width="34.5703125" customWidth="1"/>
    <col min="8" max="8" width="25.85546875" customWidth="1"/>
  </cols>
  <sheetData>
    <row r="2" spans="2:9" ht="17.25" customHeight="1" x14ac:dyDescent="0.25">
      <c r="B2" s="171" t="s">
        <v>54</v>
      </c>
      <c r="C2" s="171"/>
      <c r="D2" s="171"/>
      <c r="E2" s="42"/>
    </row>
    <row r="3" spans="2:9" ht="17.25" customHeight="1" x14ac:dyDescent="0.25">
      <c r="B3" s="171"/>
      <c r="C3" s="171"/>
      <c r="D3" s="171"/>
      <c r="E3" s="42"/>
      <c r="F3" s="172" t="s">
        <v>55</v>
      </c>
      <c r="G3" s="172"/>
      <c r="H3" s="172"/>
      <c r="I3" s="172"/>
    </row>
    <row r="4" spans="2:9" ht="17.25" customHeight="1" x14ac:dyDescent="0.25">
      <c r="B4" s="171"/>
      <c r="C4" s="171"/>
      <c r="D4" s="171"/>
      <c r="E4" s="42"/>
      <c r="F4" s="172"/>
      <c r="G4" s="172"/>
      <c r="H4" s="172"/>
      <c r="I4" s="172"/>
    </row>
    <row r="5" spans="2:9" ht="17.25" customHeight="1" x14ac:dyDescent="0.25">
      <c r="B5" s="171"/>
      <c r="C5" s="171"/>
      <c r="D5" s="171"/>
      <c r="E5" s="42"/>
      <c r="F5" s="172"/>
      <c r="G5" s="172"/>
      <c r="H5" s="172"/>
      <c r="I5" s="172"/>
    </row>
    <row r="6" spans="2:9" ht="20.25" x14ac:dyDescent="0.25">
      <c r="B6" s="39"/>
      <c r="D6" s="173" t="s">
        <v>56</v>
      </c>
      <c r="E6" s="173"/>
      <c r="F6" s="173"/>
      <c r="G6" s="40"/>
    </row>
    <row r="7" spans="2:9" ht="21" thickBot="1" x14ac:dyDescent="0.3">
      <c r="B7" s="39">
        <f ca="1">TODAY()</f>
        <v>45141</v>
      </c>
      <c r="D7" s="174"/>
      <c r="E7" s="174"/>
      <c r="F7" s="174"/>
      <c r="G7" s="40"/>
    </row>
    <row r="8" spans="2:9" ht="30" customHeight="1" x14ac:dyDescent="0.25">
      <c r="B8" s="36" t="s">
        <v>47</v>
      </c>
      <c r="C8" s="37" t="s">
        <v>52</v>
      </c>
      <c r="D8" s="37" t="s">
        <v>53</v>
      </c>
      <c r="E8" s="43" t="s">
        <v>57</v>
      </c>
      <c r="F8" s="43" t="s">
        <v>50</v>
      </c>
      <c r="G8" s="43" t="s">
        <v>58</v>
      </c>
      <c r="H8" s="38" t="s">
        <v>51</v>
      </c>
    </row>
    <row r="9" spans="2:9" x14ac:dyDescent="0.25">
      <c r="B9" s="41">
        <v>45111</v>
      </c>
      <c r="C9" s="31"/>
      <c r="D9" s="31">
        <f>30*180</f>
        <v>5400</v>
      </c>
      <c r="E9" s="31"/>
      <c r="F9" s="31" t="s">
        <v>132</v>
      </c>
      <c r="G9" s="46" t="s">
        <v>133</v>
      </c>
      <c r="H9" s="33"/>
    </row>
    <row r="10" spans="2:9" x14ac:dyDescent="0.25">
      <c r="B10" s="41">
        <v>45111</v>
      </c>
      <c r="C10" s="31"/>
      <c r="D10" s="31">
        <f>10*180</f>
        <v>1800</v>
      </c>
      <c r="E10" s="31"/>
      <c r="F10" s="31" t="s">
        <v>134</v>
      </c>
      <c r="G10" s="46" t="s">
        <v>133</v>
      </c>
      <c r="H10" s="33"/>
    </row>
    <row r="11" spans="2:9" x14ac:dyDescent="0.25">
      <c r="B11" s="41">
        <v>45111</v>
      </c>
      <c r="C11" s="31"/>
      <c r="D11" s="31">
        <f>10*185</f>
        <v>1850</v>
      </c>
      <c r="E11" s="31"/>
      <c r="F11" s="31" t="s">
        <v>135</v>
      </c>
      <c r="G11" s="46" t="s">
        <v>133</v>
      </c>
      <c r="H11" s="33"/>
    </row>
    <row r="12" spans="2:9" x14ac:dyDescent="0.25">
      <c r="B12" s="41">
        <v>45111</v>
      </c>
      <c r="C12" s="31"/>
      <c r="D12" s="31">
        <f>5*180</f>
        <v>900</v>
      </c>
      <c r="E12" s="31"/>
      <c r="F12" s="31" t="s">
        <v>136</v>
      </c>
      <c r="G12" s="46" t="s">
        <v>133</v>
      </c>
      <c r="H12" s="33"/>
    </row>
    <row r="13" spans="2:9" x14ac:dyDescent="0.25">
      <c r="B13" s="41">
        <v>45111</v>
      </c>
      <c r="C13" s="31"/>
      <c r="D13" s="31">
        <f>2*840</f>
        <v>1680</v>
      </c>
      <c r="E13" s="31"/>
      <c r="F13" s="31" t="s">
        <v>137</v>
      </c>
      <c r="G13" s="46" t="s">
        <v>133</v>
      </c>
      <c r="H13" s="33"/>
    </row>
    <row r="14" spans="2:9" x14ac:dyDescent="0.25">
      <c r="B14" s="41">
        <v>45111</v>
      </c>
      <c r="C14" s="31"/>
      <c r="D14" s="31">
        <f>45*25</f>
        <v>1125</v>
      </c>
      <c r="E14" s="31"/>
      <c r="F14" s="31" t="s">
        <v>138</v>
      </c>
      <c r="G14" s="46" t="s">
        <v>133</v>
      </c>
      <c r="H14" s="33"/>
    </row>
    <row r="15" spans="2:9" x14ac:dyDescent="0.25">
      <c r="B15" s="41">
        <v>45111</v>
      </c>
      <c r="C15" s="31"/>
      <c r="D15" s="31">
        <f>5*40</f>
        <v>200</v>
      </c>
      <c r="E15" s="31"/>
      <c r="F15" s="31" t="s">
        <v>139</v>
      </c>
      <c r="G15" s="46" t="s">
        <v>133</v>
      </c>
      <c r="H15" s="33"/>
    </row>
    <row r="16" spans="2:9" x14ac:dyDescent="0.25">
      <c r="B16" s="41">
        <v>45111</v>
      </c>
      <c r="C16" s="31"/>
      <c r="D16" s="31">
        <v>50</v>
      </c>
      <c r="E16" s="31"/>
      <c r="F16" s="46" t="s">
        <v>140</v>
      </c>
      <c r="G16" s="46" t="s">
        <v>133</v>
      </c>
      <c r="H16" s="41"/>
    </row>
    <row r="17" spans="2:8" x14ac:dyDescent="0.25">
      <c r="B17" s="41">
        <v>45112</v>
      </c>
      <c r="C17" s="31">
        <v>13005</v>
      </c>
      <c r="D17" s="31"/>
      <c r="E17" s="31"/>
      <c r="F17" s="46" t="s">
        <v>233</v>
      </c>
      <c r="G17" s="46" t="s">
        <v>234</v>
      </c>
      <c r="H17" s="132"/>
    </row>
    <row r="18" spans="2:8" x14ac:dyDescent="0.25">
      <c r="B18" s="41">
        <v>45125</v>
      </c>
      <c r="C18" s="31"/>
      <c r="D18" s="31">
        <v>1125</v>
      </c>
      <c r="E18" s="31"/>
      <c r="F18" s="31" t="s">
        <v>230</v>
      </c>
      <c r="G18" s="46" t="s">
        <v>133</v>
      </c>
      <c r="H18" s="33"/>
    </row>
    <row r="19" spans="2:8" x14ac:dyDescent="0.25">
      <c r="B19" s="41">
        <v>45125</v>
      </c>
      <c r="C19" s="31"/>
      <c r="D19" s="31">
        <v>840</v>
      </c>
      <c r="E19" s="31"/>
      <c r="F19" s="31" t="s">
        <v>231</v>
      </c>
      <c r="G19" s="46" t="s">
        <v>133</v>
      </c>
      <c r="H19" s="33"/>
    </row>
    <row r="20" spans="2:8" x14ac:dyDescent="0.25">
      <c r="B20" s="41">
        <v>45125</v>
      </c>
      <c r="C20" s="31"/>
      <c r="D20" s="31">
        <v>3625</v>
      </c>
      <c r="E20" s="31"/>
      <c r="F20" s="31" t="s">
        <v>232</v>
      </c>
      <c r="G20" s="46" t="s">
        <v>133</v>
      </c>
      <c r="H20" s="33"/>
    </row>
    <row r="21" spans="2:8" x14ac:dyDescent="0.25">
      <c r="B21" s="41">
        <v>45125</v>
      </c>
      <c r="C21" s="31"/>
      <c r="D21" s="31">
        <v>50</v>
      </c>
      <c r="E21" s="31"/>
      <c r="F21" s="31" t="s">
        <v>140</v>
      </c>
      <c r="G21" s="46"/>
      <c r="H21" s="33"/>
    </row>
    <row r="22" spans="2:8" x14ac:dyDescent="0.25">
      <c r="B22" s="41">
        <v>45125</v>
      </c>
      <c r="C22" s="31">
        <v>5640</v>
      </c>
      <c r="E22" s="31"/>
      <c r="F22" s="31" t="s">
        <v>235</v>
      </c>
      <c r="G22" s="46" t="s">
        <v>234</v>
      </c>
      <c r="H22" s="33"/>
    </row>
    <row r="23" spans="2:8" x14ac:dyDescent="0.25">
      <c r="B23" s="41">
        <v>45131</v>
      </c>
      <c r="C23" s="31"/>
      <c r="D23" s="31">
        <v>4030</v>
      </c>
      <c r="E23" s="31"/>
      <c r="F23" s="31" t="s">
        <v>258</v>
      </c>
      <c r="G23" s="46" t="s">
        <v>133</v>
      </c>
      <c r="H23" s="33"/>
    </row>
    <row r="24" spans="2:8" x14ac:dyDescent="0.25">
      <c r="B24" s="41">
        <v>45131</v>
      </c>
      <c r="C24" s="31"/>
      <c r="D24" s="31">
        <v>50</v>
      </c>
      <c r="E24" s="31"/>
      <c r="F24" s="31" t="s">
        <v>140</v>
      </c>
      <c r="G24" s="46" t="s">
        <v>133</v>
      </c>
      <c r="H24" s="33"/>
    </row>
    <row r="25" spans="2:8" x14ac:dyDescent="0.25">
      <c r="B25" s="41">
        <v>45131</v>
      </c>
      <c r="C25" s="31">
        <v>4080</v>
      </c>
      <c r="D25" s="31"/>
      <c r="E25" s="31"/>
      <c r="F25" s="31" t="s">
        <v>259</v>
      </c>
      <c r="G25" s="46" t="s">
        <v>234</v>
      </c>
      <c r="H25" s="33"/>
    </row>
    <row r="26" spans="2:8" x14ac:dyDescent="0.25">
      <c r="B26" s="41"/>
      <c r="C26" s="31"/>
      <c r="D26" s="31"/>
      <c r="E26" s="31"/>
      <c r="F26" s="31"/>
      <c r="G26" s="46"/>
      <c r="H26" s="33"/>
    </row>
    <row r="27" spans="2:8" x14ac:dyDescent="0.25">
      <c r="B27" s="41"/>
      <c r="C27" s="31"/>
      <c r="D27" s="31"/>
      <c r="E27" s="31"/>
      <c r="F27" s="31"/>
      <c r="G27" s="46"/>
      <c r="H27" s="33"/>
    </row>
    <row r="28" spans="2:8" x14ac:dyDescent="0.25">
      <c r="B28" s="41"/>
      <c r="C28" s="31"/>
      <c r="D28" s="31"/>
      <c r="E28" s="31"/>
      <c r="F28" s="31"/>
      <c r="G28" s="46"/>
      <c r="H28" s="33"/>
    </row>
    <row r="29" spans="2:8" x14ac:dyDescent="0.25">
      <c r="B29" s="41"/>
      <c r="C29" s="31"/>
      <c r="D29" s="31"/>
      <c r="E29" s="31"/>
      <c r="F29" s="31"/>
      <c r="G29" s="46"/>
      <c r="H29" s="33"/>
    </row>
    <row r="30" spans="2:8" x14ac:dyDescent="0.25">
      <c r="B30" s="41"/>
      <c r="C30" s="31"/>
      <c r="D30" s="31"/>
      <c r="E30" s="31"/>
      <c r="F30" s="31"/>
      <c r="G30" s="46"/>
      <c r="H30" s="33"/>
    </row>
    <row r="31" spans="2:8" x14ac:dyDescent="0.25">
      <c r="B31" s="41"/>
      <c r="C31" s="31"/>
      <c r="D31" s="31"/>
      <c r="E31" s="31"/>
      <c r="F31" s="31"/>
      <c r="G31" s="46"/>
      <c r="H31" s="33"/>
    </row>
    <row r="32" spans="2:8" x14ac:dyDescent="0.25">
      <c r="B32" s="41"/>
      <c r="C32" s="31"/>
      <c r="D32" s="31"/>
      <c r="E32" s="31"/>
      <c r="F32" s="31"/>
      <c r="G32" s="46"/>
      <c r="H32" s="33"/>
    </row>
    <row r="33" spans="2:8" x14ac:dyDescent="0.25">
      <c r="B33" s="41"/>
      <c r="C33" s="31"/>
      <c r="D33" s="31"/>
      <c r="E33" s="31"/>
      <c r="F33" s="31"/>
      <c r="G33" s="46"/>
      <c r="H33" s="33"/>
    </row>
    <row r="34" spans="2:8" x14ac:dyDescent="0.25">
      <c r="B34" s="41"/>
      <c r="C34" s="31"/>
      <c r="D34" s="31"/>
      <c r="E34" s="31"/>
      <c r="F34" s="31"/>
      <c r="G34" s="46"/>
      <c r="H34" s="33"/>
    </row>
    <row r="35" spans="2:8" x14ac:dyDescent="0.25">
      <c r="B35" s="41"/>
      <c r="C35" s="31"/>
      <c r="D35" s="31"/>
      <c r="E35" s="31"/>
      <c r="F35" s="31"/>
      <c r="G35" s="46"/>
      <c r="H35" s="33"/>
    </row>
    <row r="36" spans="2:8" x14ac:dyDescent="0.25">
      <c r="B36" s="41"/>
      <c r="C36" s="31"/>
      <c r="D36" s="31"/>
      <c r="E36" s="31"/>
      <c r="F36" s="31"/>
      <c r="G36" s="46"/>
      <c r="H36" s="33"/>
    </row>
    <row r="37" spans="2:8" x14ac:dyDescent="0.25">
      <c r="B37" s="41"/>
      <c r="C37" s="31"/>
      <c r="D37" s="31"/>
      <c r="E37" s="31"/>
      <c r="F37" s="31"/>
      <c r="G37" s="46"/>
      <c r="H37" s="33"/>
    </row>
    <row r="38" spans="2:8" x14ac:dyDescent="0.25">
      <c r="B38" s="32"/>
      <c r="C38" s="31"/>
      <c r="D38" s="31"/>
      <c r="E38" s="31"/>
      <c r="F38" s="31"/>
      <c r="G38" s="46"/>
      <c r="H38" s="33"/>
    </row>
    <row r="39" spans="2:8" ht="30.75" customHeight="1" thickBot="1" x14ac:dyDescent="0.3">
      <c r="B39" s="44" t="s">
        <v>6</v>
      </c>
      <c r="C39" s="45">
        <f>SUM(C9:C38)</f>
        <v>22725</v>
      </c>
      <c r="D39" s="34">
        <f>SUM(D9:D38)</f>
        <v>22725</v>
      </c>
      <c r="E39" s="66">
        <f>D39-C39</f>
        <v>0</v>
      </c>
      <c r="F39" s="83" t="s">
        <v>77</v>
      </c>
      <c r="G39" s="47"/>
      <c r="H39" s="35"/>
    </row>
  </sheetData>
  <mergeCells count="3">
    <mergeCell ref="B2:D5"/>
    <mergeCell ref="F3:I5"/>
    <mergeCell ref="D6:F7"/>
  </mergeCells>
  <pageMargins left="0.7" right="0.7" top="0.75" bottom="0.75" header="0.3" footer="0.3"/>
  <pageSetup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4"/>
  <sheetViews>
    <sheetView showGridLines="0" rightToLeft="1" topLeftCell="A19" workbookViewId="0">
      <selection activeCell="G31" sqref="G31"/>
    </sheetView>
  </sheetViews>
  <sheetFormatPr defaultRowHeight="15" x14ac:dyDescent="0.25"/>
  <cols>
    <col min="2" max="2" width="16" customWidth="1"/>
    <col min="3" max="3" width="12.7109375" customWidth="1"/>
    <col min="4" max="5" width="17.42578125" customWidth="1"/>
    <col min="6" max="7" width="34.5703125" customWidth="1"/>
    <col min="8" max="8" width="25.85546875" customWidth="1"/>
  </cols>
  <sheetData>
    <row r="2" spans="2:9" ht="17.25" customHeight="1" x14ac:dyDescent="0.25">
      <c r="B2" s="171" t="s">
        <v>54</v>
      </c>
      <c r="C2" s="171"/>
      <c r="D2" s="171"/>
      <c r="E2" s="57"/>
    </row>
    <row r="3" spans="2:9" ht="17.25" customHeight="1" x14ac:dyDescent="0.25">
      <c r="B3" s="171"/>
      <c r="C3" s="171"/>
      <c r="D3" s="171"/>
      <c r="E3" s="57"/>
      <c r="F3" s="172" t="s">
        <v>55</v>
      </c>
      <c r="G3" s="172"/>
      <c r="H3" s="172"/>
      <c r="I3" s="172"/>
    </row>
    <row r="4" spans="2:9" ht="17.25" customHeight="1" x14ac:dyDescent="0.25">
      <c r="B4" s="171"/>
      <c r="C4" s="171"/>
      <c r="D4" s="171"/>
      <c r="E4" s="57"/>
      <c r="F4" s="172"/>
      <c r="G4" s="172"/>
      <c r="H4" s="172"/>
      <c r="I4" s="172"/>
    </row>
    <row r="5" spans="2:9" ht="17.25" customHeight="1" x14ac:dyDescent="0.25">
      <c r="B5" s="171"/>
      <c r="C5" s="171"/>
      <c r="D5" s="171"/>
      <c r="E5" s="57"/>
      <c r="F5" s="172"/>
      <c r="G5" s="172"/>
      <c r="H5" s="172"/>
      <c r="I5" s="172"/>
    </row>
    <row r="6" spans="2:9" ht="20.25" x14ac:dyDescent="0.25">
      <c r="B6" s="39"/>
      <c r="D6" s="173" t="s">
        <v>56</v>
      </c>
      <c r="E6" s="173"/>
      <c r="F6" s="173"/>
      <c r="G6" s="58"/>
    </row>
    <row r="7" spans="2:9" ht="21" thickBot="1" x14ac:dyDescent="0.3">
      <c r="B7" s="39">
        <f ca="1">TODAY()</f>
        <v>45141</v>
      </c>
      <c r="D7" s="174"/>
      <c r="E7" s="174"/>
      <c r="F7" s="174"/>
      <c r="G7" s="58"/>
    </row>
    <row r="8" spans="2:9" ht="30" customHeight="1" x14ac:dyDescent="0.25">
      <c r="B8" s="36" t="s">
        <v>47</v>
      </c>
      <c r="C8" s="37" t="s">
        <v>52</v>
      </c>
      <c r="D8" s="37" t="s">
        <v>53</v>
      </c>
      <c r="E8" s="43" t="s">
        <v>57</v>
      </c>
      <c r="F8" s="43" t="s">
        <v>50</v>
      </c>
      <c r="G8" s="43" t="s">
        <v>58</v>
      </c>
      <c r="H8" s="38" t="s">
        <v>51</v>
      </c>
    </row>
    <row r="9" spans="2:9" x14ac:dyDescent="0.25">
      <c r="B9" s="41">
        <v>45108</v>
      </c>
      <c r="C9" s="134"/>
      <c r="D9" s="134">
        <v>950</v>
      </c>
      <c r="E9" s="31"/>
      <c r="F9" s="31" t="s">
        <v>78</v>
      </c>
      <c r="G9" s="46" t="s">
        <v>59</v>
      </c>
      <c r="H9" s="33" t="s">
        <v>115</v>
      </c>
    </row>
    <row r="10" spans="2:9" x14ac:dyDescent="0.25">
      <c r="B10" s="41">
        <v>45108</v>
      </c>
      <c r="C10" s="134"/>
      <c r="D10" s="134">
        <v>950</v>
      </c>
      <c r="E10" s="31"/>
      <c r="F10" s="31" t="s">
        <v>78</v>
      </c>
      <c r="G10" s="46" t="s">
        <v>59</v>
      </c>
      <c r="H10" s="33" t="s">
        <v>115</v>
      </c>
    </row>
    <row r="11" spans="2:9" x14ac:dyDescent="0.25">
      <c r="B11" s="41">
        <v>45108</v>
      </c>
      <c r="C11" s="134"/>
      <c r="D11" s="134">
        <v>950</v>
      </c>
      <c r="E11" s="31"/>
      <c r="F11" s="31" t="s">
        <v>78</v>
      </c>
      <c r="G11" s="46" t="s">
        <v>59</v>
      </c>
      <c r="H11" s="33" t="s">
        <v>115</v>
      </c>
    </row>
    <row r="12" spans="2:9" x14ac:dyDescent="0.25">
      <c r="B12" s="41">
        <v>45108</v>
      </c>
      <c r="C12" s="134"/>
      <c r="D12" s="134">
        <v>1000</v>
      </c>
      <c r="E12" s="31"/>
      <c r="F12" s="31" t="s">
        <v>78</v>
      </c>
      <c r="G12" s="46" t="s">
        <v>59</v>
      </c>
      <c r="H12" s="33" t="s">
        <v>116</v>
      </c>
    </row>
    <row r="13" spans="2:9" x14ac:dyDescent="0.25">
      <c r="B13" s="41">
        <v>45108</v>
      </c>
      <c r="C13" s="134"/>
      <c r="D13" s="134">
        <v>200</v>
      </c>
      <c r="E13" s="31"/>
      <c r="F13" s="31" t="s">
        <v>60</v>
      </c>
      <c r="G13" s="46" t="s">
        <v>59</v>
      </c>
      <c r="H13" s="33" t="s">
        <v>117</v>
      </c>
    </row>
    <row r="14" spans="2:9" x14ac:dyDescent="0.25">
      <c r="B14" s="41">
        <v>45108</v>
      </c>
      <c r="C14" s="134"/>
      <c r="D14" s="134">
        <f>609*16</f>
        <v>9744</v>
      </c>
      <c r="E14" s="31"/>
      <c r="F14" s="91" t="s">
        <v>118</v>
      </c>
      <c r="G14" s="46" t="s">
        <v>59</v>
      </c>
      <c r="H14" s="33" t="s">
        <v>119</v>
      </c>
    </row>
    <row r="15" spans="2:9" x14ac:dyDescent="0.25">
      <c r="B15" s="41">
        <v>45108</v>
      </c>
      <c r="C15" s="134"/>
      <c r="D15" s="134">
        <v>320</v>
      </c>
      <c r="E15" s="31"/>
      <c r="F15" s="31" t="s">
        <v>120</v>
      </c>
      <c r="G15" s="46" t="s">
        <v>59</v>
      </c>
      <c r="H15" s="33"/>
    </row>
    <row r="16" spans="2:9" x14ac:dyDescent="0.25">
      <c r="B16" s="41">
        <v>45111</v>
      </c>
      <c r="C16" s="134">
        <v>14114</v>
      </c>
      <c r="D16" s="134"/>
      <c r="E16" s="31"/>
      <c r="F16" s="31" t="s">
        <v>121</v>
      </c>
      <c r="G16" s="46" t="s">
        <v>59</v>
      </c>
      <c r="H16" s="33"/>
    </row>
    <row r="17" spans="2:8" x14ac:dyDescent="0.25">
      <c r="B17" s="41">
        <v>45114</v>
      </c>
      <c r="C17" s="134"/>
      <c r="D17" s="134">
        <v>1250</v>
      </c>
      <c r="E17" s="31"/>
      <c r="F17" s="31" t="s">
        <v>78</v>
      </c>
      <c r="G17" s="46" t="s">
        <v>59</v>
      </c>
      <c r="H17" s="33" t="s">
        <v>216</v>
      </c>
    </row>
    <row r="18" spans="2:8" x14ac:dyDescent="0.25">
      <c r="B18" s="41">
        <v>45122</v>
      </c>
      <c r="C18" s="134"/>
      <c r="D18" s="134">
        <v>1350</v>
      </c>
      <c r="E18" s="31"/>
      <c r="F18" s="31" t="s">
        <v>78</v>
      </c>
      <c r="G18" s="46" t="s">
        <v>59</v>
      </c>
      <c r="H18" s="33" t="s">
        <v>217</v>
      </c>
    </row>
    <row r="19" spans="2:8" x14ac:dyDescent="0.25">
      <c r="B19" s="41">
        <v>45122</v>
      </c>
      <c r="C19" s="134"/>
      <c r="D19" s="134">
        <v>120</v>
      </c>
      <c r="E19" s="31"/>
      <c r="F19" s="31" t="s">
        <v>60</v>
      </c>
      <c r="G19" s="46" t="s">
        <v>59</v>
      </c>
      <c r="H19" s="33"/>
    </row>
    <row r="20" spans="2:8" x14ac:dyDescent="0.25">
      <c r="B20" s="41">
        <v>45122</v>
      </c>
      <c r="C20" s="134"/>
      <c r="D20" s="134">
        <f>750*21</f>
        <v>15750</v>
      </c>
      <c r="E20" s="31"/>
      <c r="F20" s="31" t="s">
        <v>218</v>
      </c>
      <c r="G20" s="46" t="s">
        <v>59</v>
      </c>
      <c r="H20" s="33" t="s">
        <v>219</v>
      </c>
    </row>
    <row r="21" spans="2:8" x14ac:dyDescent="0.25">
      <c r="B21" s="41">
        <v>45122</v>
      </c>
      <c r="C21" s="134"/>
      <c r="D21" s="134">
        <v>150</v>
      </c>
      <c r="E21" s="31"/>
      <c r="F21" s="31" t="s">
        <v>60</v>
      </c>
      <c r="G21" s="46" t="s">
        <v>59</v>
      </c>
      <c r="H21" s="33"/>
    </row>
    <row r="22" spans="2:8" x14ac:dyDescent="0.25">
      <c r="B22" s="41">
        <v>45122</v>
      </c>
      <c r="C22" s="134">
        <v>10000</v>
      </c>
      <c r="D22" s="134"/>
      <c r="E22" s="31"/>
      <c r="F22" s="31" t="s">
        <v>220</v>
      </c>
      <c r="G22" s="46" t="s">
        <v>221</v>
      </c>
      <c r="H22" s="33" t="s">
        <v>221</v>
      </c>
    </row>
    <row r="23" spans="2:8" x14ac:dyDescent="0.25">
      <c r="B23" s="41">
        <v>45124</v>
      </c>
      <c r="C23" s="134"/>
      <c r="D23" s="134">
        <v>1350</v>
      </c>
      <c r="E23" s="31"/>
      <c r="F23" s="31" t="s">
        <v>78</v>
      </c>
      <c r="G23" s="46" t="s">
        <v>59</v>
      </c>
      <c r="H23" s="33" t="s">
        <v>288</v>
      </c>
    </row>
    <row r="24" spans="2:8" x14ac:dyDescent="0.25">
      <c r="B24" s="41">
        <v>45125</v>
      </c>
      <c r="C24" s="134">
        <v>5000</v>
      </c>
      <c r="D24" s="134"/>
      <c r="E24" s="31"/>
      <c r="F24" s="31" t="s">
        <v>229</v>
      </c>
      <c r="G24" s="46" t="s">
        <v>59</v>
      </c>
      <c r="H24" s="33" t="s">
        <v>221</v>
      </c>
    </row>
    <row r="25" spans="2:8" x14ac:dyDescent="0.25">
      <c r="B25" s="41">
        <v>45125</v>
      </c>
      <c r="C25" s="134"/>
      <c r="D25" s="134">
        <v>1750</v>
      </c>
      <c r="E25" s="31"/>
      <c r="F25" s="31" t="s">
        <v>78</v>
      </c>
      <c r="G25" s="46" t="s">
        <v>59</v>
      </c>
      <c r="H25" s="33" t="s">
        <v>289</v>
      </c>
    </row>
    <row r="26" spans="2:8" x14ac:dyDescent="0.25">
      <c r="B26" s="41">
        <v>45131</v>
      </c>
      <c r="C26" s="134"/>
      <c r="D26" s="134">
        <v>1750</v>
      </c>
      <c r="E26" s="31"/>
      <c r="F26" s="31" t="s">
        <v>78</v>
      </c>
      <c r="G26" s="46" t="s">
        <v>59</v>
      </c>
      <c r="H26" s="33" t="s">
        <v>289</v>
      </c>
    </row>
    <row r="27" spans="2:8" x14ac:dyDescent="0.25">
      <c r="B27" s="41">
        <v>45133</v>
      </c>
      <c r="C27" s="134"/>
      <c r="D27" s="134">
        <v>1750</v>
      </c>
      <c r="E27" s="31"/>
      <c r="F27" s="46" t="s">
        <v>78</v>
      </c>
      <c r="G27" s="46" t="s">
        <v>59</v>
      </c>
      <c r="H27" s="33" t="s">
        <v>289</v>
      </c>
    </row>
    <row r="28" spans="2:8" x14ac:dyDescent="0.25">
      <c r="B28" s="41">
        <v>45134</v>
      </c>
      <c r="C28" s="134">
        <v>3620</v>
      </c>
      <c r="D28" s="134"/>
      <c r="E28" s="31"/>
      <c r="F28" s="31" t="s">
        <v>268</v>
      </c>
      <c r="G28" s="46" t="s">
        <v>59</v>
      </c>
      <c r="H28" s="33" t="s">
        <v>221</v>
      </c>
    </row>
    <row r="29" spans="2:8" x14ac:dyDescent="0.25">
      <c r="B29" s="41"/>
      <c r="C29" s="134"/>
      <c r="D29" s="134">
        <v>200</v>
      </c>
      <c r="E29" s="31"/>
      <c r="F29" s="31" t="s">
        <v>60</v>
      </c>
      <c r="G29" s="46" t="s">
        <v>59</v>
      </c>
      <c r="H29" s="33"/>
    </row>
    <row r="30" spans="2:8" x14ac:dyDescent="0.25">
      <c r="B30" s="41"/>
      <c r="C30" s="134">
        <v>6800</v>
      </c>
      <c r="D30" s="134"/>
      <c r="E30" s="31"/>
      <c r="F30" s="31" t="s">
        <v>290</v>
      </c>
      <c r="G30" s="46" t="s">
        <v>291</v>
      </c>
      <c r="H30" s="33" t="s">
        <v>221</v>
      </c>
    </row>
    <row r="31" spans="2:8" x14ac:dyDescent="0.25">
      <c r="B31" s="41"/>
      <c r="C31" s="134"/>
      <c r="D31" s="134"/>
      <c r="E31" s="31"/>
      <c r="F31" s="31"/>
      <c r="G31" s="46"/>
      <c r="H31" s="33"/>
    </row>
    <row r="32" spans="2:8" x14ac:dyDescent="0.25">
      <c r="B32" s="32"/>
      <c r="C32" s="134"/>
      <c r="D32" s="134"/>
      <c r="E32" s="31"/>
      <c r="F32" s="31"/>
      <c r="G32" s="46"/>
      <c r="H32" s="33"/>
    </row>
    <row r="33" spans="2:8" ht="30.75" customHeight="1" thickBot="1" x14ac:dyDescent="0.3">
      <c r="B33" s="44" t="s">
        <v>6</v>
      </c>
      <c r="C33" s="45">
        <f>SUM(C9:C32)</f>
        <v>39534</v>
      </c>
      <c r="D33" s="45">
        <f>SUM(D9:D32)</f>
        <v>39534</v>
      </c>
      <c r="E33" s="66">
        <f>D33-C33</f>
        <v>0</v>
      </c>
      <c r="F33" s="34" t="s">
        <v>79</v>
      </c>
      <c r="G33" s="47"/>
      <c r="H33" s="35"/>
    </row>
    <row r="34" spans="2:8" ht="15.75" thickBot="1" x14ac:dyDescent="0.3">
      <c r="F34" s="34"/>
    </row>
  </sheetData>
  <mergeCells count="3">
    <mergeCell ref="B2:D5"/>
    <mergeCell ref="F3:I5"/>
    <mergeCell ref="D6:F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4" zoomScale="70" zoomScaleNormal="70" workbookViewId="0">
      <selection activeCell="K47" sqref="K47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41" bestFit="1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45110</v>
      </c>
      <c r="B4" s="7"/>
      <c r="C4" s="7" t="s">
        <v>14</v>
      </c>
      <c r="D4" s="7">
        <v>531</v>
      </c>
      <c r="E4" s="68" t="s">
        <v>101</v>
      </c>
      <c r="F4" s="7">
        <f>SUM(G4:T4)</f>
        <v>75</v>
      </c>
      <c r="G4" s="7"/>
      <c r="H4" s="90">
        <v>75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45110</v>
      </c>
      <c r="B5" s="7"/>
      <c r="C5" s="7" t="s">
        <v>15</v>
      </c>
      <c r="D5" s="7">
        <v>1763</v>
      </c>
      <c r="E5" s="68" t="s">
        <v>124</v>
      </c>
      <c r="F5" s="7">
        <f t="shared" ref="F5:F38" si="0">SUM(G5:T5)</f>
        <v>30</v>
      </c>
      <c r="G5" s="7"/>
      <c r="H5" s="90"/>
      <c r="I5" s="7"/>
      <c r="J5" s="7"/>
      <c r="K5" s="7"/>
      <c r="L5" s="7"/>
      <c r="M5" s="7">
        <v>30</v>
      </c>
      <c r="N5" s="7"/>
      <c r="O5" s="7"/>
      <c r="P5" s="7"/>
      <c r="Q5" s="7"/>
      <c r="R5" s="7"/>
      <c r="S5" s="7"/>
      <c r="T5" s="7"/>
    </row>
    <row r="6" spans="1:20" ht="25.5" customHeight="1" x14ac:dyDescent="0.25">
      <c r="A6" s="68">
        <v>45110</v>
      </c>
      <c r="B6" s="7"/>
      <c r="C6" s="7" t="s">
        <v>16</v>
      </c>
      <c r="D6" s="7">
        <v>0</v>
      </c>
      <c r="E6" s="68" t="s">
        <v>125</v>
      </c>
      <c r="F6" s="7">
        <f t="shared" si="0"/>
        <v>90</v>
      </c>
      <c r="G6" s="7"/>
      <c r="H6" s="90"/>
      <c r="I6" s="7"/>
      <c r="J6" s="7"/>
      <c r="K6" s="7"/>
      <c r="L6" s="7">
        <v>90</v>
      </c>
      <c r="M6" s="7"/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45110</v>
      </c>
      <c r="B7" s="7"/>
      <c r="C7" s="7" t="s">
        <v>17</v>
      </c>
      <c r="D7" s="7">
        <v>177</v>
      </c>
      <c r="E7" s="68" t="s">
        <v>126</v>
      </c>
      <c r="F7" s="7">
        <f t="shared" si="0"/>
        <v>300</v>
      </c>
      <c r="G7" s="7"/>
      <c r="H7" s="90"/>
      <c r="I7" s="7"/>
      <c r="J7" s="7"/>
      <c r="K7" s="7"/>
      <c r="L7" s="7"/>
      <c r="M7" s="7"/>
      <c r="N7" s="7"/>
      <c r="O7" s="7"/>
      <c r="P7" s="7"/>
      <c r="Q7" s="7"/>
      <c r="R7" s="7">
        <v>300</v>
      </c>
      <c r="S7" s="7"/>
      <c r="T7" s="7"/>
    </row>
    <row r="8" spans="1:20" ht="25.5" customHeight="1" x14ac:dyDescent="0.25">
      <c r="A8" s="68">
        <v>45110</v>
      </c>
      <c r="B8" s="7"/>
      <c r="C8" s="7" t="s">
        <v>18</v>
      </c>
      <c r="D8" s="7">
        <f>30+50+3150+119+82</f>
        <v>3431</v>
      </c>
      <c r="E8" s="125" t="s">
        <v>129</v>
      </c>
      <c r="F8" s="126">
        <f t="shared" si="0"/>
        <v>300</v>
      </c>
      <c r="G8" s="7"/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126">
        <v>300</v>
      </c>
    </row>
    <row r="9" spans="1:20" ht="25.5" customHeight="1" x14ac:dyDescent="0.25">
      <c r="A9" s="68">
        <v>45110</v>
      </c>
      <c r="B9" s="7"/>
      <c r="C9" s="7" t="s">
        <v>30</v>
      </c>
      <c r="D9" s="7">
        <v>0</v>
      </c>
      <c r="E9" s="68" t="s">
        <v>87</v>
      </c>
      <c r="F9" s="7">
        <f t="shared" si="0"/>
        <v>150</v>
      </c>
      <c r="G9" s="7">
        <v>150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45110</v>
      </c>
      <c r="B10" s="7"/>
      <c r="C10" s="7" t="s">
        <v>46</v>
      </c>
      <c r="D10" s="7">
        <v>0</v>
      </c>
      <c r="E10" s="126" t="s">
        <v>127</v>
      </c>
      <c r="F10" s="7">
        <f t="shared" si="0"/>
        <v>50</v>
      </c>
      <c r="G10" s="7">
        <v>50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45110</v>
      </c>
      <c r="B11" s="7"/>
      <c r="C11" s="7"/>
      <c r="D11" s="7"/>
      <c r="E11" s="68" t="s">
        <v>90</v>
      </c>
      <c r="F11" s="7">
        <f t="shared" si="0"/>
        <v>50</v>
      </c>
      <c r="G11" s="7">
        <v>50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45110</v>
      </c>
      <c r="B12" s="7"/>
      <c r="C12" s="7"/>
      <c r="D12" s="7"/>
      <c r="E12" s="126" t="s">
        <v>128</v>
      </c>
      <c r="F12" s="7">
        <f t="shared" si="0"/>
        <v>50</v>
      </c>
      <c r="G12" s="7">
        <v>50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45110</v>
      </c>
      <c r="B13" s="7"/>
      <c r="C13" s="7"/>
      <c r="D13" s="7"/>
      <c r="E13" s="68" t="s">
        <v>103</v>
      </c>
      <c r="F13" s="7">
        <f t="shared" si="0"/>
        <v>160</v>
      </c>
      <c r="G13" s="7">
        <v>160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45110</v>
      </c>
      <c r="B14" s="7"/>
      <c r="C14" s="7"/>
      <c r="D14" s="7"/>
      <c r="E14" s="68" t="s">
        <v>91</v>
      </c>
      <c r="F14" s="7">
        <f t="shared" si="0"/>
        <v>200</v>
      </c>
      <c r="G14" s="7">
        <v>200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45110</v>
      </c>
      <c r="B15" s="7"/>
      <c r="C15" s="7"/>
      <c r="D15" s="7"/>
      <c r="E15" s="68" t="s">
        <v>92</v>
      </c>
      <c r="F15" s="7">
        <f t="shared" si="0"/>
        <v>100</v>
      </c>
      <c r="G15" s="7">
        <v>100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45110</v>
      </c>
      <c r="B16" s="7"/>
      <c r="C16" s="7"/>
      <c r="D16" s="7"/>
      <c r="E16" s="68" t="s">
        <v>104</v>
      </c>
      <c r="F16" s="7">
        <f t="shared" si="0"/>
        <v>50</v>
      </c>
      <c r="G16" s="7">
        <v>50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45110</v>
      </c>
      <c r="B17" s="7"/>
      <c r="C17" s="7"/>
      <c r="D17" s="7"/>
      <c r="E17" s="68" t="s">
        <v>95</v>
      </c>
      <c r="F17" s="7">
        <f t="shared" si="0"/>
        <v>100</v>
      </c>
      <c r="G17" s="7">
        <v>100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45110</v>
      </c>
      <c r="B18" s="7"/>
      <c r="C18" s="7"/>
      <c r="D18" s="7"/>
      <c r="E18" s="68" t="s">
        <v>96</v>
      </c>
      <c r="F18" s="7">
        <f t="shared" si="0"/>
        <v>170</v>
      </c>
      <c r="G18" s="7">
        <v>170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45110</v>
      </c>
      <c r="B19" s="7"/>
      <c r="C19" s="7"/>
      <c r="D19" s="7"/>
      <c r="E19" s="68" t="s">
        <v>98</v>
      </c>
      <c r="F19" s="7">
        <f t="shared" si="0"/>
        <v>110</v>
      </c>
      <c r="G19" s="7">
        <v>110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45110</v>
      </c>
      <c r="B20" s="7"/>
      <c r="C20" s="7"/>
      <c r="D20" s="7"/>
      <c r="E20" s="68" t="s">
        <v>130</v>
      </c>
      <c r="F20" s="7">
        <f t="shared" si="0"/>
        <v>150</v>
      </c>
      <c r="G20" s="7">
        <v>150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45110</v>
      </c>
      <c r="B21" s="7"/>
      <c r="C21" s="7"/>
      <c r="D21" s="7"/>
      <c r="E21" s="68" t="s">
        <v>107</v>
      </c>
      <c r="F21" s="7">
        <f t="shared" si="0"/>
        <v>30</v>
      </c>
      <c r="G21" s="7">
        <v>30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45110</v>
      </c>
      <c r="B22" s="7"/>
      <c r="C22" s="7"/>
      <c r="D22" s="7"/>
      <c r="E22" s="68" t="s">
        <v>106</v>
      </c>
      <c r="F22" s="7">
        <f t="shared" si="0"/>
        <v>40</v>
      </c>
      <c r="G22" s="7">
        <v>40</v>
      </c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45110</v>
      </c>
      <c r="B23" s="7"/>
      <c r="C23" s="7"/>
      <c r="D23" s="7"/>
      <c r="E23" s="68" t="s">
        <v>99</v>
      </c>
      <c r="F23" s="7">
        <f t="shared" si="0"/>
        <v>150</v>
      </c>
      <c r="G23" s="7">
        <v>150</v>
      </c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>
        <v>45110</v>
      </c>
      <c r="B24" s="7"/>
      <c r="C24" s="7"/>
      <c r="D24" s="7"/>
      <c r="E24" s="126" t="s">
        <v>131</v>
      </c>
      <c r="F24" s="7">
        <f t="shared" si="0"/>
        <v>30</v>
      </c>
      <c r="G24" s="7"/>
      <c r="H24" s="90"/>
      <c r="I24" s="7"/>
      <c r="J24" s="7"/>
      <c r="K24" s="7"/>
      <c r="L24" s="7"/>
      <c r="M24" s="7"/>
      <c r="N24" s="126">
        <v>30</v>
      </c>
      <c r="O24" s="7"/>
      <c r="P24" s="7"/>
      <c r="Q24" s="7"/>
      <c r="R24" s="7"/>
      <c r="S24" s="7"/>
      <c r="T24" s="7"/>
    </row>
    <row r="25" spans="1:20" ht="25.5" customHeight="1" x14ac:dyDescent="0.25">
      <c r="A25" s="68">
        <v>45110</v>
      </c>
      <c r="B25" s="7"/>
      <c r="C25" s="7"/>
      <c r="D25" s="7"/>
      <c r="E25" s="68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>
        <v>45110</v>
      </c>
      <c r="B26" s="7"/>
      <c r="C26" s="7"/>
      <c r="D26" s="7"/>
      <c r="E26" s="68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>
        <v>45110</v>
      </c>
      <c r="B27" s="7"/>
      <c r="C27" s="7"/>
      <c r="D27" s="7"/>
      <c r="E27" s="68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>
        <v>45110</v>
      </c>
      <c r="B28" s="7"/>
      <c r="C28" s="7"/>
      <c r="D28" s="7"/>
      <c r="E28" s="68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>
        <v>45110</v>
      </c>
      <c r="B29" s="7"/>
      <c r="C29" s="7"/>
      <c r="D29" s="7"/>
      <c r="E29" s="68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>
        <v>45110</v>
      </c>
      <c r="B30" s="7"/>
      <c r="C30" s="7"/>
      <c r="D30" s="7"/>
      <c r="E30" s="68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>
        <v>45110</v>
      </c>
      <c r="B31" s="7"/>
      <c r="C31" s="7"/>
      <c r="D31" s="7"/>
      <c r="E31" s="68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>
        <v>45110</v>
      </c>
      <c r="B32" s="7"/>
      <c r="C32" s="7"/>
      <c r="D32" s="7"/>
      <c r="E32" s="68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>
        <v>45110</v>
      </c>
      <c r="B33" s="7"/>
      <c r="C33" s="7"/>
      <c r="D33" s="7"/>
      <c r="E33" s="68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>
        <v>45110</v>
      </c>
      <c r="B34" s="7"/>
      <c r="C34" s="7"/>
      <c r="D34" s="7"/>
      <c r="E34" s="68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68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68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68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68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5902</v>
      </c>
      <c r="E39" s="119"/>
      <c r="F39" s="7">
        <f>SUM(F4:F38)</f>
        <v>2385</v>
      </c>
      <c r="G39" s="7">
        <f t="shared" ref="G39:T39" si="1">SUM(G4:G38)</f>
        <v>1560</v>
      </c>
      <c r="H39" s="90">
        <f t="shared" si="1"/>
        <v>75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90</v>
      </c>
      <c r="M39" s="7">
        <f t="shared" si="1"/>
        <v>30</v>
      </c>
      <c r="N39" s="7">
        <f t="shared" si="1"/>
        <v>30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300</v>
      </c>
      <c r="S39" s="7">
        <f t="shared" si="1"/>
        <v>0</v>
      </c>
      <c r="T39" s="7">
        <f t="shared" si="1"/>
        <v>300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5902</v>
      </c>
      <c r="C42" s="8"/>
      <c r="E42" s="6">
        <v>200</v>
      </c>
      <c r="F42" s="7"/>
      <c r="G42" s="8">
        <f t="shared" ref="G42:G48" si="2">+E42*F42</f>
        <v>0</v>
      </c>
    </row>
    <row r="43" spans="1:20" ht="46.5" customHeight="1" x14ac:dyDescent="0.25">
      <c r="A43" s="10" t="s">
        <v>20</v>
      </c>
      <c r="B43" s="7">
        <f>D8</f>
        <v>3431</v>
      </c>
      <c r="C43" s="8"/>
      <c r="E43" s="6">
        <v>100</v>
      </c>
      <c r="F43" s="7"/>
      <c r="G43" s="8">
        <f t="shared" si="2"/>
        <v>0</v>
      </c>
    </row>
    <row r="44" spans="1:20" ht="46.5" customHeight="1" x14ac:dyDescent="0.25">
      <c r="A44" s="10" t="s">
        <v>21</v>
      </c>
      <c r="B44" s="7">
        <f>F39</f>
        <v>2385</v>
      </c>
      <c r="C44" s="8"/>
      <c r="E44" s="6">
        <v>50</v>
      </c>
      <c r="F44" s="7">
        <v>1</v>
      </c>
      <c r="G44" s="8">
        <f t="shared" si="2"/>
        <v>50</v>
      </c>
    </row>
    <row r="45" spans="1:20" ht="51.75" customHeight="1" x14ac:dyDescent="0.25">
      <c r="A45" s="10" t="s">
        <v>22</v>
      </c>
      <c r="B45" s="12">
        <f>+B42-B43-B44</f>
        <v>86</v>
      </c>
      <c r="C45" s="13"/>
      <c r="E45" s="6">
        <v>20</v>
      </c>
      <c r="F45" s="7">
        <v>1</v>
      </c>
      <c r="G45" s="8">
        <f t="shared" si="2"/>
        <v>20</v>
      </c>
    </row>
    <row r="46" spans="1:20" ht="46.5" customHeight="1" x14ac:dyDescent="0.25">
      <c r="A46" s="10" t="s">
        <v>23</v>
      </c>
      <c r="B46" s="12">
        <f>G49</f>
        <v>86</v>
      </c>
      <c r="C46" s="13"/>
      <c r="D46" s="1"/>
      <c r="E46" s="6">
        <v>10</v>
      </c>
      <c r="F46" s="7"/>
      <c r="G46" s="8">
        <f t="shared" si="2"/>
        <v>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2</v>
      </c>
      <c r="G47" s="8">
        <f t="shared" si="2"/>
        <v>10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6</v>
      </c>
      <c r="G48" s="8">
        <f t="shared" si="2"/>
        <v>6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86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" right="0" top="0" bottom="0" header="0.31496062992125984" footer="0.31496062992125984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1" zoomScale="70" zoomScaleNormal="70" workbookViewId="0">
      <selection activeCell="J45" sqref="J45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31.5703125" bestFit="1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45111</v>
      </c>
      <c r="B4" s="7"/>
      <c r="C4" s="7" t="s">
        <v>14</v>
      </c>
      <c r="D4" s="7">
        <v>810</v>
      </c>
      <c r="E4" s="7" t="s">
        <v>141</v>
      </c>
      <c r="F4" s="7">
        <f>SUM(G4:T4)</f>
        <v>60</v>
      </c>
      <c r="G4" s="7"/>
      <c r="H4" s="90">
        <v>60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45111</v>
      </c>
      <c r="B5" s="7"/>
      <c r="C5" s="7" t="s">
        <v>15</v>
      </c>
      <c r="D5" s="7">
        <v>2172</v>
      </c>
      <c r="E5" s="7" t="s">
        <v>142</v>
      </c>
      <c r="F5" s="7">
        <f t="shared" ref="F5:F38" si="0">SUM(G5:T5)</f>
        <v>15</v>
      </c>
      <c r="G5" s="7"/>
      <c r="H5" s="90"/>
      <c r="I5" s="7"/>
      <c r="J5" s="7"/>
      <c r="K5" s="7"/>
      <c r="L5" s="7"/>
      <c r="M5" s="7"/>
      <c r="N5" s="7"/>
      <c r="O5" s="7"/>
      <c r="P5" s="7">
        <f>5+10</f>
        <v>15</v>
      </c>
      <c r="Q5" s="7"/>
      <c r="R5" s="7"/>
      <c r="S5" s="7"/>
      <c r="T5" s="7"/>
    </row>
    <row r="6" spans="1:20" ht="25.5" customHeight="1" x14ac:dyDescent="0.25">
      <c r="A6" s="68">
        <v>45111</v>
      </c>
      <c r="B6" s="7"/>
      <c r="C6" s="7" t="s">
        <v>16</v>
      </c>
      <c r="D6" s="7">
        <v>0</v>
      </c>
      <c r="E6" s="7" t="s">
        <v>143</v>
      </c>
      <c r="F6" s="7">
        <f t="shared" si="0"/>
        <v>115</v>
      </c>
      <c r="G6" s="7"/>
      <c r="H6" s="90"/>
      <c r="I6" s="7"/>
      <c r="J6" s="7"/>
      <c r="K6" s="7"/>
      <c r="L6" s="7"/>
      <c r="M6" s="7"/>
      <c r="N6" s="7">
        <v>115</v>
      </c>
      <c r="O6" s="7"/>
      <c r="P6" s="7"/>
      <c r="Q6" s="7"/>
      <c r="R6" s="7"/>
      <c r="S6" s="7"/>
      <c r="T6" s="7"/>
    </row>
    <row r="7" spans="1:20" ht="25.5" customHeight="1" x14ac:dyDescent="0.25">
      <c r="A7" s="68">
        <v>45111</v>
      </c>
      <c r="B7" s="7"/>
      <c r="C7" s="7" t="s">
        <v>17</v>
      </c>
      <c r="D7" s="7">
        <v>102</v>
      </c>
      <c r="E7" s="7" t="s">
        <v>144</v>
      </c>
      <c r="F7" s="7">
        <f t="shared" si="0"/>
        <v>110</v>
      </c>
      <c r="G7" s="7"/>
      <c r="H7" s="90"/>
      <c r="I7" s="7"/>
      <c r="J7" s="7"/>
      <c r="K7" s="7"/>
      <c r="L7" s="7">
        <v>110</v>
      </c>
      <c r="M7" s="7"/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45111</v>
      </c>
      <c r="B8" s="7"/>
      <c r="C8" s="7" t="s">
        <v>18</v>
      </c>
      <c r="D8" s="7">
        <f>25+30+50+25+45+200+45</f>
        <v>420</v>
      </c>
      <c r="E8" s="7" t="s">
        <v>145</v>
      </c>
      <c r="F8" s="7">
        <f t="shared" si="0"/>
        <v>90</v>
      </c>
      <c r="G8" s="7"/>
      <c r="H8" s="90"/>
      <c r="I8" s="7"/>
      <c r="J8" s="7"/>
      <c r="K8" s="7"/>
      <c r="L8" s="7">
        <v>90</v>
      </c>
      <c r="M8" s="7"/>
      <c r="N8" s="7"/>
      <c r="O8" s="7"/>
      <c r="P8" s="7"/>
      <c r="Q8" s="7"/>
      <c r="R8" s="7"/>
      <c r="S8" s="7"/>
      <c r="T8" s="7"/>
    </row>
    <row r="9" spans="1:20" ht="25.5" customHeight="1" x14ac:dyDescent="0.25">
      <c r="A9" s="68">
        <v>45111</v>
      </c>
      <c r="B9" s="7"/>
      <c r="C9" s="7" t="s">
        <v>30</v>
      </c>
      <c r="D9" s="7"/>
      <c r="E9" s="7" t="s">
        <v>124</v>
      </c>
      <c r="F9" s="7">
        <f t="shared" si="0"/>
        <v>30</v>
      </c>
      <c r="G9" s="7"/>
      <c r="H9" s="90"/>
      <c r="I9" s="7"/>
      <c r="J9" s="7"/>
      <c r="K9" s="7"/>
      <c r="L9" s="7"/>
      <c r="M9" s="7">
        <v>30</v>
      </c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45111</v>
      </c>
      <c r="B10" s="7"/>
      <c r="C10" s="7" t="s">
        <v>46</v>
      </c>
      <c r="D10" s="7"/>
      <c r="E10" s="7" t="s">
        <v>146</v>
      </c>
      <c r="F10" s="7">
        <f t="shared" si="0"/>
        <v>50</v>
      </c>
      <c r="G10" s="7"/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>
        <v>50</v>
      </c>
      <c r="T10" s="7"/>
    </row>
    <row r="11" spans="1:20" ht="25.5" customHeight="1" x14ac:dyDescent="0.25">
      <c r="A11" s="68">
        <v>45111</v>
      </c>
      <c r="B11" s="7"/>
      <c r="C11" s="7"/>
      <c r="D11" s="7"/>
      <c r="E11" s="7" t="s">
        <v>147</v>
      </c>
      <c r="F11" s="7">
        <f t="shared" si="0"/>
        <v>4</v>
      </c>
      <c r="G11" s="7"/>
      <c r="H11" s="90"/>
      <c r="I11" s="7"/>
      <c r="J11" s="7"/>
      <c r="K11" s="7"/>
      <c r="L11" s="7"/>
      <c r="M11" s="7"/>
      <c r="N11" s="7">
        <v>4</v>
      </c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45111</v>
      </c>
      <c r="B12" s="7"/>
      <c r="C12" s="7"/>
      <c r="D12" s="7"/>
      <c r="E12" s="7" t="s">
        <v>129</v>
      </c>
      <c r="F12" s="7">
        <f t="shared" si="0"/>
        <v>300</v>
      </c>
      <c r="G12" s="7"/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>
        <v>300</v>
      </c>
    </row>
    <row r="13" spans="1:20" ht="25.5" customHeight="1" x14ac:dyDescent="0.25">
      <c r="A13" s="68">
        <v>45111</v>
      </c>
      <c r="B13" s="7"/>
      <c r="C13" s="7"/>
      <c r="D13" s="7"/>
      <c r="E13" s="7" t="s">
        <v>148</v>
      </c>
      <c r="F13" s="7">
        <f t="shared" si="0"/>
        <v>72</v>
      </c>
      <c r="G13" s="7"/>
      <c r="H13" s="90"/>
      <c r="I13" s="7"/>
      <c r="J13" s="7"/>
      <c r="K13" s="7"/>
      <c r="L13" s="7"/>
      <c r="M13" s="7"/>
      <c r="N13" s="7">
        <v>72</v>
      </c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45111</v>
      </c>
      <c r="B14" s="7"/>
      <c r="C14" s="7"/>
      <c r="D14" s="7"/>
      <c r="E14" s="7" t="s">
        <v>149</v>
      </c>
      <c r="F14" s="7">
        <f t="shared" si="0"/>
        <v>50</v>
      </c>
      <c r="G14" s="7"/>
      <c r="H14" s="90"/>
      <c r="I14" s="7"/>
      <c r="J14" s="7"/>
      <c r="K14" s="7"/>
      <c r="L14" s="7"/>
      <c r="M14" s="7"/>
      <c r="N14" s="7">
        <v>50</v>
      </c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45111</v>
      </c>
      <c r="B15" s="7"/>
      <c r="C15" s="7"/>
      <c r="D15" s="7"/>
      <c r="E15" s="7" t="s">
        <v>150</v>
      </c>
      <c r="F15" s="7">
        <f t="shared" si="0"/>
        <v>24</v>
      </c>
      <c r="G15" s="7"/>
      <c r="H15" s="90"/>
      <c r="I15" s="7"/>
      <c r="J15" s="7"/>
      <c r="K15" s="7"/>
      <c r="L15" s="7"/>
      <c r="M15" s="7"/>
      <c r="N15" s="7">
        <v>24</v>
      </c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45111</v>
      </c>
      <c r="B16" s="7"/>
      <c r="C16" s="7"/>
      <c r="D16" s="7"/>
      <c r="E16" s="7" t="s">
        <v>89</v>
      </c>
      <c r="F16" s="7">
        <f t="shared" si="0"/>
        <v>150</v>
      </c>
      <c r="G16" s="7">
        <v>150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45111</v>
      </c>
      <c r="B17" s="7"/>
      <c r="C17" s="7"/>
      <c r="D17" s="7"/>
      <c r="E17" s="7" t="s">
        <v>151</v>
      </c>
      <c r="F17" s="7">
        <f t="shared" si="0"/>
        <v>290</v>
      </c>
      <c r="G17" s="7">
        <f>170+120</f>
        <v>290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45111</v>
      </c>
      <c r="B18" s="7"/>
      <c r="C18" s="7"/>
      <c r="D18" s="7"/>
      <c r="E18" s="7" t="s">
        <v>103</v>
      </c>
      <c r="F18" s="7">
        <f t="shared" si="0"/>
        <v>160</v>
      </c>
      <c r="G18" s="7">
        <v>160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45111</v>
      </c>
      <c r="B19" s="7"/>
      <c r="C19" s="7"/>
      <c r="D19" s="7"/>
      <c r="E19" s="7" t="s">
        <v>91</v>
      </c>
      <c r="F19" s="7">
        <f t="shared" si="0"/>
        <v>200</v>
      </c>
      <c r="G19" s="7">
        <v>200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45111</v>
      </c>
      <c r="B20" s="7"/>
      <c r="C20" s="7"/>
      <c r="D20" s="7"/>
      <c r="E20" s="7" t="s">
        <v>152</v>
      </c>
      <c r="F20" s="7">
        <f t="shared" si="0"/>
        <v>40</v>
      </c>
      <c r="G20" s="7">
        <v>40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45111</v>
      </c>
      <c r="B21" s="7"/>
      <c r="C21" s="7"/>
      <c r="D21" s="7"/>
      <c r="E21" s="7" t="s">
        <v>153</v>
      </c>
      <c r="F21" s="7">
        <f t="shared" si="0"/>
        <v>90</v>
      </c>
      <c r="G21" s="7">
        <v>90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45111</v>
      </c>
      <c r="B22" s="7"/>
      <c r="C22" s="7"/>
      <c r="D22" s="7"/>
      <c r="E22" s="7" t="s">
        <v>107</v>
      </c>
      <c r="F22" s="7">
        <f t="shared" si="0"/>
        <v>30</v>
      </c>
      <c r="G22" s="7">
        <v>30</v>
      </c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45111</v>
      </c>
      <c r="B23" s="7"/>
      <c r="C23" s="7"/>
      <c r="D23" s="7"/>
      <c r="E23" s="92" t="s">
        <v>105</v>
      </c>
      <c r="F23" s="7">
        <f t="shared" si="0"/>
        <v>170</v>
      </c>
      <c r="G23" s="92">
        <v>170</v>
      </c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>
        <v>45111</v>
      </c>
      <c r="B24" s="7"/>
      <c r="C24" s="7"/>
      <c r="D24" s="7"/>
      <c r="E24" s="7" t="s">
        <v>154</v>
      </c>
      <c r="F24" s="7">
        <f t="shared" si="0"/>
        <v>270</v>
      </c>
      <c r="G24" s="7">
        <f>160+110</f>
        <v>270</v>
      </c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>
        <v>45111</v>
      </c>
      <c r="B25" s="7"/>
      <c r="C25" s="7"/>
      <c r="D25" s="7"/>
      <c r="E25" s="7" t="s">
        <v>90</v>
      </c>
      <c r="F25" s="7">
        <f t="shared" si="0"/>
        <v>50</v>
      </c>
      <c r="G25" s="7">
        <v>50</v>
      </c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>
        <v>45111</v>
      </c>
      <c r="B26" s="7"/>
      <c r="C26" s="7"/>
      <c r="D26" s="7"/>
      <c r="E26" s="7" t="s">
        <v>93</v>
      </c>
      <c r="F26" s="7">
        <f t="shared" si="0"/>
        <v>50</v>
      </c>
      <c r="G26" s="7">
        <v>50</v>
      </c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>
        <v>45111</v>
      </c>
      <c r="B27" s="7"/>
      <c r="C27" s="7"/>
      <c r="D27" s="7"/>
      <c r="E27" s="7" t="s">
        <v>99</v>
      </c>
      <c r="F27" s="7">
        <f t="shared" si="0"/>
        <v>150</v>
      </c>
      <c r="G27" s="7">
        <v>150</v>
      </c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>
        <v>45111</v>
      </c>
      <c r="B28" s="7"/>
      <c r="C28" s="7"/>
      <c r="D28" s="7"/>
      <c r="E28" s="7" t="s">
        <v>98</v>
      </c>
      <c r="F28" s="7">
        <f>SUM(G28:T28)</f>
        <v>120</v>
      </c>
      <c r="G28" s="7">
        <v>120</v>
      </c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>
        <v>45111</v>
      </c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>
        <v>45111</v>
      </c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3504</v>
      </c>
      <c r="E39" s="119"/>
      <c r="F39" s="7">
        <f>SUM(F4:F38)</f>
        <v>2690</v>
      </c>
      <c r="G39" s="7">
        <f t="shared" ref="G39:T39" si="1">SUM(G4:G38)</f>
        <v>1770</v>
      </c>
      <c r="H39" s="90">
        <f t="shared" si="1"/>
        <v>60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200</v>
      </c>
      <c r="M39" s="7">
        <f t="shared" si="1"/>
        <v>30</v>
      </c>
      <c r="N39" s="7">
        <f t="shared" si="1"/>
        <v>265</v>
      </c>
      <c r="O39" s="7">
        <f t="shared" si="1"/>
        <v>0</v>
      </c>
      <c r="P39" s="7">
        <f t="shared" si="1"/>
        <v>15</v>
      </c>
      <c r="Q39" s="7">
        <f t="shared" si="1"/>
        <v>0</v>
      </c>
      <c r="R39" s="7">
        <f t="shared" si="1"/>
        <v>0</v>
      </c>
      <c r="S39" s="7">
        <f t="shared" si="1"/>
        <v>50</v>
      </c>
      <c r="T39" s="7">
        <f t="shared" si="1"/>
        <v>300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3504</v>
      </c>
      <c r="C42" s="8"/>
      <c r="E42" s="6">
        <v>200</v>
      </c>
      <c r="F42" s="7"/>
      <c r="G42" s="8">
        <f t="shared" ref="G42:G48" si="2">+E42*F42</f>
        <v>0</v>
      </c>
    </row>
    <row r="43" spans="1:20" ht="46.5" customHeight="1" x14ac:dyDescent="0.25">
      <c r="A43" s="10" t="s">
        <v>20</v>
      </c>
      <c r="B43" s="7">
        <f>D8</f>
        <v>420</v>
      </c>
      <c r="C43" s="8"/>
      <c r="E43" s="6">
        <v>100</v>
      </c>
      <c r="F43" s="7">
        <v>1</v>
      </c>
      <c r="G43" s="8">
        <f t="shared" si="2"/>
        <v>100</v>
      </c>
    </row>
    <row r="44" spans="1:20" ht="46.5" customHeight="1" x14ac:dyDescent="0.25">
      <c r="A44" s="10" t="s">
        <v>21</v>
      </c>
      <c r="B44" s="7">
        <f>F39</f>
        <v>2690</v>
      </c>
      <c r="C44" s="8"/>
      <c r="E44" s="6">
        <v>50</v>
      </c>
      <c r="F44" s="7">
        <v>1</v>
      </c>
      <c r="G44" s="8">
        <f t="shared" si="2"/>
        <v>50</v>
      </c>
    </row>
    <row r="45" spans="1:20" ht="51.75" customHeight="1" x14ac:dyDescent="0.25">
      <c r="A45" s="10" t="s">
        <v>22</v>
      </c>
      <c r="B45" s="12">
        <f>+B42-B43-B44</f>
        <v>394</v>
      </c>
      <c r="C45" s="13"/>
      <c r="E45" s="6">
        <v>20</v>
      </c>
      <c r="F45" s="7">
        <v>6</v>
      </c>
      <c r="G45" s="8">
        <f t="shared" si="2"/>
        <v>120</v>
      </c>
    </row>
    <row r="46" spans="1:20" ht="46.5" customHeight="1" x14ac:dyDescent="0.25">
      <c r="A46" s="10" t="s">
        <v>23</v>
      </c>
      <c r="B46" s="12">
        <f>G49</f>
        <v>395</v>
      </c>
      <c r="C46" s="13"/>
      <c r="D46" s="1"/>
      <c r="E46" s="6">
        <v>10</v>
      </c>
      <c r="F46" s="7">
        <v>8</v>
      </c>
      <c r="G46" s="8">
        <f t="shared" si="2"/>
        <v>80</v>
      </c>
    </row>
    <row r="47" spans="1:20" ht="34.5" customHeight="1" x14ac:dyDescent="0.25">
      <c r="A47" s="10" t="s">
        <v>24</v>
      </c>
      <c r="B47" s="12">
        <f>IF(B45&lt;B46,B46-B45,0)</f>
        <v>1</v>
      </c>
      <c r="C47" s="13"/>
      <c r="E47" s="6">
        <v>5</v>
      </c>
      <c r="F47" s="7">
        <v>9</v>
      </c>
      <c r="G47" s="8">
        <f t="shared" si="2"/>
        <v>45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/>
      <c r="G48" s="8">
        <f t="shared" si="2"/>
        <v>0</v>
      </c>
    </row>
    <row r="49" spans="1:7" ht="30" customHeight="1" thickBot="1" x14ac:dyDescent="0.35">
      <c r="A49" s="11" t="s">
        <v>29</v>
      </c>
      <c r="B49" s="14" t="b">
        <f>B45=B46</f>
        <v>0</v>
      </c>
      <c r="C49" s="15"/>
      <c r="E49" s="137" t="s">
        <v>25</v>
      </c>
      <c r="F49" s="138"/>
      <c r="G49" s="9">
        <f>SUM(G42:G48)</f>
        <v>395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2"/>
  <sheetViews>
    <sheetView rightToLeft="1" topLeftCell="E2" zoomScale="70" zoomScaleNormal="70" workbookViewId="0">
      <selection activeCell="M47" sqref="M47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2.28515625" bestFit="1" customWidth="1"/>
    <col min="13" max="14" width="13.5703125" customWidth="1"/>
    <col min="15" max="15" width="19.140625" bestFit="1" customWidth="1"/>
    <col min="16" max="16" width="18.42578125" bestFit="1" customWidth="1"/>
    <col min="17" max="17" width="10.5703125" customWidth="1"/>
    <col min="18" max="18" width="20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45112</v>
      </c>
      <c r="B4" s="7"/>
      <c r="C4" s="7" t="s">
        <v>14</v>
      </c>
      <c r="D4" s="7">
        <v>915</v>
      </c>
      <c r="E4" s="7" t="s">
        <v>156</v>
      </c>
      <c r="F4" s="7">
        <f>SUM(G4:T4)</f>
        <v>10</v>
      </c>
      <c r="G4" s="7"/>
      <c r="H4" s="90"/>
      <c r="I4" s="7"/>
      <c r="J4" s="7"/>
      <c r="K4" s="7"/>
      <c r="L4" s="7"/>
      <c r="M4" s="7"/>
      <c r="N4" s="7">
        <v>10</v>
      </c>
      <c r="O4" s="7"/>
      <c r="P4" s="7"/>
      <c r="Q4" s="7"/>
      <c r="R4" s="7"/>
      <c r="S4" s="7"/>
      <c r="T4" s="7"/>
    </row>
    <row r="5" spans="1:20" ht="25.5" customHeight="1" x14ac:dyDescent="0.25">
      <c r="A5" s="68">
        <v>45112</v>
      </c>
      <c r="B5" s="7"/>
      <c r="C5" s="7" t="s">
        <v>15</v>
      </c>
      <c r="D5" s="7">
        <v>2535</v>
      </c>
      <c r="E5" s="7" t="s">
        <v>141</v>
      </c>
      <c r="F5" s="7">
        <f t="shared" ref="F5:F38" si="0">SUM(G5:T5)</f>
        <v>55</v>
      </c>
      <c r="G5" s="7"/>
      <c r="H5" s="90">
        <v>55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25.5" customHeight="1" x14ac:dyDescent="0.25">
      <c r="A6" s="68">
        <v>45112</v>
      </c>
      <c r="B6" s="7"/>
      <c r="C6" s="7" t="s">
        <v>16</v>
      </c>
      <c r="D6" s="7">
        <v>0</v>
      </c>
      <c r="E6" s="7" t="s">
        <v>126</v>
      </c>
      <c r="F6" s="7">
        <f t="shared" si="0"/>
        <v>350</v>
      </c>
      <c r="G6" s="7"/>
      <c r="H6" s="90"/>
      <c r="I6" s="7"/>
      <c r="J6" s="7"/>
      <c r="K6" s="7"/>
      <c r="L6" s="7"/>
      <c r="M6" s="7"/>
      <c r="N6" s="7"/>
      <c r="O6" s="7"/>
      <c r="P6" s="7"/>
      <c r="Q6" s="7"/>
      <c r="R6" s="7">
        <v>350</v>
      </c>
      <c r="S6" s="7"/>
      <c r="T6" s="7"/>
    </row>
    <row r="7" spans="1:20" ht="25.5" customHeight="1" x14ac:dyDescent="0.25">
      <c r="A7" s="68">
        <v>45112</v>
      </c>
      <c r="B7" s="7"/>
      <c r="C7" s="7" t="s">
        <v>17</v>
      </c>
      <c r="D7" s="7">
        <v>115</v>
      </c>
      <c r="E7" s="7" t="s">
        <v>125</v>
      </c>
      <c r="F7" s="7">
        <f t="shared" si="0"/>
        <v>135</v>
      </c>
      <c r="G7" s="7"/>
      <c r="H7" s="90"/>
      <c r="I7" s="7"/>
      <c r="J7" s="7"/>
      <c r="K7" s="7"/>
      <c r="L7" s="7">
        <f>90+45</f>
        <v>135</v>
      </c>
      <c r="M7" s="7"/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45112</v>
      </c>
      <c r="B8" s="7"/>
      <c r="C8" s="7" t="s">
        <v>18</v>
      </c>
      <c r="D8" s="7">
        <f>55+75+64+48</f>
        <v>242</v>
      </c>
      <c r="E8" s="7" t="s">
        <v>129</v>
      </c>
      <c r="F8" s="7">
        <f t="shared" si="0"/>
        <v>800</v>
      </c>
      <c r="G8" s="7"/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>
        <v>800</v>
      </c>
    </row>
    <row r="9" spans="1:20" ht="25.5" customHeight="1" x14ac:dyDescent="0.25">
      <c r="A9" s="68">
        <v>45112</v>
      </c>
      <c r="B9" s="7"/>
      <c r="C9" s="7" t="s">
        <v>30</v>
      </c>
      <c r="D9" s="7">
        <v>0</v>
      </c>
      <c r="E9" s="7" t="s">
        <v>157</v>
      </c>
      <c r="F9" s="7">
        <f t="shared" si="0"/>
        <v>15</v>
      </c>
      <c r="G9" s="7"/>
      <c r="H9" s="90"/>
      <c r="I9" s="7"/>
      <c r="J9" s="7"/>
      <c r="K9" s="7"/>
      <c r="L9" s="7"/>
      <c r="M9" s="7"/>
      <c r="N9" s="7">
        <v>15</v>
      </c>
      <c r="O9" s="7"/>
      <c r="P9" s="7"/>
      <c r="Q9" s="7"/>
      <c r="R9" s="7"/>
      <c r="S9" s="7"/>
      <c r="T9" s="7"/>
    </row>
    <row r="10" spans="1:20" ht="25.5" customHeight="1" x14ac:dyDescent="0.25">
      <c r="A10" s="68">
        <v>45112</v>
      </c>
      <c r="B10" s="7"/>
      <c r="C10" s="7" t="s">
        <v>46</v>
      </c>
      <c r="D10" s="7">
        <v>0</v>
      </c>
      <c r="E10" s="7" t="s">
        <v>87</v>
      </c>
      <c r="F10" s="7">
        <f t="shared" si="0"/>
        <v>150</v>
      </c>
      <c r="G10" s="7">
        <v>150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45112</v>
      </c>
      <c r="B11" s="7"/>
      <c r="C11" s="7"/>
      <c r="D11" s="7"/>
      <c r="E11" s="7" t="s">
        <v>86</v>
      </c>
      <c r="F11" s="7">
        <f t="shared" si="0"/>
        <v>170</v>
      </c>
      <c r="G11" s="7">
        <v>170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45112</v>
      </c>
      <c r="B12" s="7"/>
      <c r="C12" s="7"/>
      <c r="D12" s="7"/>
      <c r="E12" s="7" t="s">
        <v>130</v>
      </c>
      <c r="F12" s="7">
        <f t="shared" si="0"/>
        <v>150</v>
      </c>
      <c r="G12" s="7">
        <v>150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45112</v>
      </c>
      <c r="B13" s="7"/>
      <c r="C13" s="7"/>
      <c r="D13" s="7"/>
      <c r="E13" s="7" t="s">
        <v>88</v>
      </c>
      <c r="F13" s="7">
        <f t="shared" si="0"/>
        <v>160</v>
      </c>
      <c r="G13" s="7">
        <v>160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45112</v>
      </c>
      <c r="B14" s="7"/>
      <c r="C14" s="7"/>
      <c r="D14" s="7"/>
      <c r="E14" s="7" t="s">
        <v>158</v>
      </c>
      <c r="F14" s="7">
        <f t="shared" si="0"/>
        <v>50</v>
      </c>
      <c r="G14" s="7">
        <v>50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45112</v>
      </c>
      <c r="B15" s="7"/>
      <c r="C15" s="7"/>
      <c r="D15" s="7"/>
      <c r="E15" s="7" t="s">
        <v>100</v>
      </c>
      <c r="F15" s="7">
        <f t="shared" si="0"/>
        <v>160</v>
      </c>
      <c r="G15" s="7">
        <v>160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45112</v>
      </c>
      <c r="B16" s="7"/>
      <c r="C16" s="7"/>
      <c r="D16" s="7"/>
      <c r="E16" s="7" t="s">
        <v>92</v>
      </c>
      <c r="F16" s="7">
        <f t="shared" si="0"/>
        <v>110</v>
      </c>
      <c r="G16" s="7">
        <v>110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45112</v>
      </c>
      <c r="B17" s="7"/>
      <c r="C17" s="7"/>
      <c r="D17" s="7"/>
      <c r="E17" s="7" t="s">
        <v>91</v>
      </c>
      <c r="F17" s="7">
        <f t="shared" si="0"/>
        <v>200</v>
      </c>
      <c r="G17" s="7">
        <v>200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45112</v>
      </c>
      <c r="B18" s="7"/>
      <c r="C18" s="7"/>
      <c r="D18" s="7"/>
      <c r="E18" s="7" t="s">
        <v>94</v>
      </c>
      <c r="F18" s="7">
        <f t="shared" si="0"/>
        <v>30</v>
      </c>
      <c r="G18" s="7">
        <v>30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45112</v>
      </c>
      <c r="B19" s="7"/>
      <c r="C19" s="7"/>
      <c r="D19" s="7"/>
      <c r="E19" s="7" t="s">
        <v>96</v>
      </c>
      <c r="F19" s="7">
        <f t="shared" si="0"/>
        <v>170</v>
      </c>
      <c r="G19" s="7">
        <v>170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45112</v>
      </c>
      <c r="B20" s="7"/>
      <c r="C20" s="7"/>
      <c r="D20" s="7"/>
      <c r="E20" s="7" t="s">
        <v>159</v>
      </c>
      <c r="F20" s="7">
        <f t="shared" si="0"/>
        <v>150</v>
      </c>
      <c r="G20" s="7">
        <v>150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45112</v>
      </c>
      <c r="B21" s="7"/>
      <c r="C21" s="7"/>
      <c r="D21" s="7"/>
      <c r="E21" s="7" t="s">
        <v>93</v>
      </c>
      <c r="F21" s="7">
        <f t="shared" si="0"/>
        <v>60</v>
      </c>
      <c r="G21" s="7">
        <v>60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45112</v>
      </c>
      <c r="B22" s="7"/>
      <c r="C22" s="7"/>
      <c r="D22" s="7"/>
      <c r="E22" s="7"/>
      <c r="F22" s="7">
        <f t="shared" si="0"/>
        <v>0</v>
      </c>
      <c r="G22" s="7"/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45112</v>
      </c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3807</v>
      </c>
      <c r="E39" s="119"/>
      <c r="F39" s="7">
        <f>SUM(F4:F38)</f>
        <v>2925</v>
      </c>
      <c r="G39" s="7">
        <f t="shared" ref="G39:T39" si="1">SUM(G4:G38)</f>
        <v>1560</v>
      </c>
      <c r="H39" s="90">
        <f t="shared" si="1"/>
        <v>55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135</v>
      </c>
      <c r="M39" s="7">
        <f t="shared" si="1"/>
        <v>0</v>
      </c>
      <c r="N39" s="7">
        <f t="shared" si="1"/>
        <v>25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350</v>
      </c>
      <c r="S39" s="7">
        <f t="shared" si="1"/>
        <v>0</v>
      </c>
      <c r="T39" s="7">
        <f t="shared" si="1"/>
        <v>800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3807</v>
      </c>
      <c r="C42" s="8"/>
      <c r="E42" s="6">
        <v>200</v>
      </c>
      <c r="F42" s="7">
        <v>1</v>
      </c>
      <c r="G42" s="8">
        <f t="shared" ref="G42:G48" si="2">+E42*F42</f>
        <v>200</v>
      </c>
    </row>
    <row r="43" spans="1:20" ht="46.5" customHeight="1" x14ac:dyDescent="0.25">
      <c r="A43" s="10" t="s">
        <v>20</v>
      </c>
      <c r="B43" s="7">
        <f>D8</f>
        <v>242</v>
      </c>
      <c r="C43" s="8"/>
      <c r="E43" s="6">
        <v>100</v>
      </c>
      <c r="F43" s="7">
        <v>1</v>
      </c>
      <c r="G43" s="8">
        <f t="shared" si="2"/>
        <v>100</v>
      </c>
    </row>
    <row r="44" spans="1:20" ht="46.5" customHeight="1" x14ac:dyDescent="0.25">
      <c r="A44" s="10" t="s">
        <v>21</v>
      </c>
      <c r="B44" s="7">
        <f>F39</f>
        <v>2925</v>
      </c>
      <c r="C44" s="8"/>
      <c r="E44" s="6">
        <v>50</v>
      </c>
      <c r="F44" s="7"/>
      <c r="G44" s="8">
        <f t="shared" si="2"/>
        <v>0</v>
      </c>
    </row>
    <row r="45" spans="1:20" ht="51.75" customHeight="1" x14ac:dyDescent="0.25">
      <c r="A45" s="10" t="s">
        <v>22</v>
      </c>
      <c r="B45" s="12">
        <f>+B42-B43-B44</f>
        <v>640</v>
      </c>
      <c r="C45" s="13"/>
      <c r="E45" s="6">
        <v>20</v>
      </c>
      <c r="F45" s="7">
        <v>11</v>
      </c>
      <c r="G45" s="8">
        <f t="shared" si="2"/>
        <v>220</v>
      </c>
    </row>
    <row r="46" spans="1:20" ht="46.5" customHeight="1" x14ac:dyDescent="0.25">
      <c r="A46" s="10" t="s">
        <v>23</v>
      </c>
      <c r="B46" s="12">
        <f>G49</f>
        <v>640</v>
      </c>
      <c r="C46" s="13"/>
      <c r="D46" s="1"/>
      <c r="E46" s="6">
        <v>10</v>
      </c>
      <c r="F46" s="7">
        <v>2</v>
      </c>
      <c r="G46" s="8">
        <f t="shared" si="2"/>
        <v>20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20</v>
      </c>
      <c r="G47" s="8">
        <f t="shared" si="2"/>
        <v>100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/>
      <c r="G48" s="8">
        <f t="shared" si="2"/>
        <v>0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640</v>
      </c>
    </row>
    <row r="50" spans="1:7" ht="15.75" thickTop="1" x14ac:dyDescent="0.25">
      <c r="A50" s="140" t="s">
        <v>68</v>
      </c>
      <c r="B50" s="140"/>
      <c r="C50" s="140"/>
    </row>
    <row r="51" spans="1:7" x14ac:dyDescent="0.25">
      <c r="A51" s="141"/>
      <c r="B51" s="141"/>
      <c r="C51" s="141"/>
    </row>
    <row r="52" spans="1:7" x14ac:dyDescent="0.25">
      <c r="A52" s="141"/>
      <c r="B52" s="141"/>
      <c r="C52" s="141"/>
    </row>
  </sheetData>
  <mergeCells count="4">
    <mergeCell ref="E49:F49"/>
    <mergeCell ref="E2:L2"/>
    <mergeCell ref="A39:C39"/>
    <mergeCell ref="A50:C5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G40" zoomScale="80" zoomScaleNormal="80" workbookViewId="0">
      <selection activeCell="H48" sqref="H48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30.7109375" bestFit="1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3" width="13.5703125" customWidth="1"/>
    <col min="14" max="14" width="12.7109375" bestFit="1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45113</v>
      </c>
      <c r="B4" s="7"/>
      <c r="C4" s="7" t="s">
        <v>14</v>
      </c>
      <c r="D4" s="7">
        <v>1069</v>
      </c>
      <c r="E4" s="7" t="s">
        <v>163</v>
      </c>
      <c r="F4" s="7">
        <f>SUM(G4:T4)</f>
        <v>55</v>
      </c>
      <c r="G4" s="7"/>
      <c r="H4" s="90">
        <v>55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45113</v>
      </c>
      <c r="B5" s="7"/>
      <c r="C5" s="7" t="s">
        <v>15</v>
      </c>
      <c r="D5" s="7">
        <v>2539</v>
      </c>
      <c r="E5" s="7" t="s">
        <v>126</v>
      </c>
      <c r="F5" s="7">
        <f t="shared" ref="F5:F38" si="0">SUM(G5:T5)</f>
        <v>200</v>
      </c>
      <c r="G5" s="7"/>
      <c r="H5" s="90"/>
      <c r="I5" s="7"/>
      <c r="J5" s="7"/>
      <c r="K5" s="7"/>
      <c r="L5" s="7"/>
      <c r="M5" s="7"/>
      <c r="N5" s="7"/>
      <c r="O5" s="7"/>
      <c r="P5" s="7"/>
      <c r="Q5" s="7"/>
      <c r="R5" s="7">
        <v>200</v>
      </c>
      <c r="S5" s="7"/>
      <c r="T5" s="7"/>
    </row>
    <row r="6" spans="1:20" ht="25.5" customHeight="1" x14ac:dyDescent="0.25">
      <c r="A6" s="68">
        <v>45113</v>
      </c>
      <c r="B6" s="7"/>
      <c r="C6" s="7" t="s">
        <v>16</v>
      </c>
      <c r="D6" s="7">
        <v>0</v>
      </c>
      <c r="E6" s="7" t="s">
        <v>125</v>
      </c>
      <c r="F6" s="7">
        <f t="shared" si="0"/>
        <v>135</v>
      </c>
      <c r="G6" s="7"/>
      <c r="H6" s="90"/>
      <c r="I6" s="7"/>
      <c r="J6" s="7"/>
      <c r="K6" s="7"/>
      <c r="L6" s="7">
        <f>90+45</f>
        <v>135</v>
      </c>
      <c r="M6" s="7"/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45113</v>
      </c>
      <c r="B7" s="7"/>
      <c r="C7" s="7" t="s">
        <v>17</v>
      </c>
      <c r="D7" s="7">
        <v>0</v>
      </c>
      <c r="E7" s="7" t="s">
        <v>124</v>
      </c>
      <c r="F7" s="7">
        <f t="shared" si="0"/>
        <v>20</v>
      </c>
      <c r="G7" s="7"/>
      <c r="H7" s="90"/>
      <c r="I7" s="7"/>
      <c r="J7" s="7"/>
      <c r="K7" s="7"/>
      <c r="L7" s="7"/>
      <c r="M7" s="7">
        <v>20</v>
      </c>
      <c r="N7" s="7"/>
      <c r="O7" s="7"/>
      <c r="P7" s="7"/>
      <c r="Q7" s="7"/>
      <c r="R7" s="7"/>
      <c r="S7" s="7"/>
      <c r="T7" s="7"/>
    </row>
    <row r="8" spans="1:20" ht="25.5" customHeight="1" x14ac:dyDescent="0.25">
      <c r="A8" s="68">
        <v>45113</v>
      </c>
      <c r="B8" s="7"/>
      <c r="C8" s="7" t="s">
        <v>18</v>
      </c>
      <c r="D8" s="7">
        <f>1050+48+84+20+25+25+60+25+20</f>
        <v>1357</v>
      </c>
      <c r="E8" s="7" t="s">
        <v>129</v>
      </c>
      <c r="F8" s="7">
        <f t="shared" si="0"/>
        <v>305</v>
      </c>
      <c r="G8" s="7"/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>
        <v>305</v>
      </c>
    </row>
    <row r="9" spans="1:20" ht="25.5" customHeight="1" x14ac:dyDescent="0.25">
      <c r="A9" s="68">
        <v>45113</v>
      </c>
      <c r="B9" s="7"/>
      <c r="C9" s="7" t="s">
        <v>30</v>
      </c>
      <c r="D9" s="7">
        <v>0</v>
      </c>
      <c r="E9" s="7" t="s">
        <v>87</v>
      </c>
      <c r="F9" s="7">
        <f t="shared" si="0"/>
        <v>150</v>
      </c>
      <c r="G9" s="7">
        <v>150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45113</v>
      </c>
      <c r="B10" s="7"/>
      <c r="C10" s="7" t="s">
        <v>46</v>
      </c>
      <c r="D10" s="7">
        <v>0</v>
      </c>
      <c r="E10" s="7" t="s">
        <v>86</v>
      </c>
      <c r="F10" s="7">
        <f t="shared" si="0"/>
        <v>170</v>
      </c>
      <c r="G10" s="7">
        <v>170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45113</v>
      </c>
      <c r="B11" s="7"/>
      <c r="C11" s="7"/>
      <c r="D11" s="7"/>
      <c r="E11" s="7" t="s">
        <v>88</v>
      </c>
      <c r="F11" s="7">
        <f t="shared" si="0"/>
        <v>160</v>
      </c>
      <c r="G11" s="7">
        <v>160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45113</v>
      </c>
      <c r="B12" s="7"/>
      <c r="C12" s="7"/>
      <c r="D12" s="7"/>
      <c r="E12" s="7" t="s">
        <v>90</v>
      </c>
      <c r="F12" s="7">
        <f t="shared" si="0"/>
        <v>50</v>
      </c>
      <c r="G12" s="7">
        <v>50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45113</v>
      </c>
      <c r="B13" s="7"/>
      <c r="C13" s="7"/>
      <c r="D13" s="7"/>
      <c r="E13" s="7" t="s">
        <v>89</v>
      </c>
      <c r="F13" s="7">
        <f t="shared" si="0"/>
        <v>150</v>
      </c>
      <c r="G13" s="7">
        <v>150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45113</v>
      </c>
      <c r="B14" s="7"/>
      <c r="C14" s="7"/>
      <c r="D14" s="7"/>
      <c r="E14" s="7" t="s">
        <v>103</v>
      </c>
      <c r="F14" s="7">
        <f t="shared" si="0"/>
        <v>160</v>
      </c>
      <c r="G14" s="7">
        <v>160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45113</v>
      </c>
      <c r="B15" s="7"/>
      <c r="C15" s="7"/>
      <c r="D15" s="7"/>
      <c r="E15" s="7" t="s">
        <v>91</v>
      </c>
      <c r="F15" s="7">
        <f t="shared" si="0"/>
        <v>200</v>
      </c>
      <c r="G15" s="7">
        <v>200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45113</v>
      </c>
      <c r="B16" s="7"/>
      <c r="C16" s="7"/>
      <c r="D16" s="7"/>
      <c r="E16" s="7" t="s">
        <v>92</v>
      </c>
      <c r="F16" s="7">
        <f t="shared" si="0"/>
        <v>100</v>
      </c>
      <c r="G16" s="7">
        <v>100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45113</v>
      </c>
      <c r="B17" s="7"/>
      <c r="C17" s="7"/>
      <c r="D17" s="7"/>
      <c r="E17" s="7" t="s">
        <v>107</v>
      </c>
      <c r="F17" s="7">
        <f t="shared" si="0"/>
        <v>30</v>
      </c>
      <c r="G17" s="7">
        <v>30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45113</v>
      </c>
      <c r="B18" s="7"/>
      <c r="C18" s="7"/>
      <c r="D18" s="7"/>
      <c r="E18" s="7" t="s">
        <v>96</v>
      </c>
      <c r="F18" s="7">
        <f t="shared" si="0"/>
        <v>170</v>
      </c>
      <c r="G18" s="7">
        <v>170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45113</v>
      </c>
      <c r="B19" s="7"/>
      <c r="C19" s="7"/>
      <c r="D19" s="7"/>
      <c r="E19" s="7" t="s">
        <v>159</v>
      </c>
      <c r="F19" s="7">
        <f t="shared" si="0"/>
        <v>150</v>
      </c>
      <c r="G19" s="7">
        <v>150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45113</v>
      </c>
      <c r="B20" s="7"/>
      <c r="C20" s="7"/>
      <c r="D20" s="7"/>
      <c r="E20" s="7" t="s">
        <v>93</v>
      </c>
      <c r="F20" s="7">
        <f t="shared" si="0"/>
        <v>50</v>
      </c>
      <c r="G20" s="7">
        <v>50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/>
      <c r="B21" s="7"/>
      <c r="C21" s="7"/>
      <c r="D21" s="7"/>
      <c r="E21" s="7" t="s">
        <v>98</v>
      </c>
      <c r="F21" s="7">
        <f t="shared" si="0"/>
        <v>100</v>
      </c>
      <c r="G21" s="7">
        <v>100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/>
      <c r="B22" s="7"/>
      <c r="C22" s="7"/>
      <c r="D22" s="7"/>
      <c r="E22" s="7"/>
      <c r="F22" s="7">
        <f t="shared" si="0"/>
        <v>0</v>
      </c>
      <c r="G22" s="7"/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/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4965</v>
      </c>
      <c r="E39" s="119"/>
      <c r="F39" s="7">
        <f>SUM(F4:F38)</f>
        <v>2355</v>
      </c>
      <c r="G39" s="7">
        <f t="shared" ref="G39:T39" si="1">SUM(G4:G38)</f>
        <v>1640</v>
      </c>
      <c r="H39" s="90">
        <f t="shared" si="1"/>
        <v>55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135</v>
      </c>
      <c r="M39" s="7">
        <f t="shared" si="1"/>
        <v>20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200</v>
      </c>
      <c r="S39" s="7">
        <f t="shared" si="1"/>
        <v>0</v>
      </c>
      <c r="T39" s="7">
        <f t="shared" si="1"/>
        <v>305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4965</v>
      </c>
      <c r="C42" s="8"/>
      <c r="E42" s="6">
        <v>200</v>
      </c>
      <c r="F42" s="7">
        <v>4</v>
      </c>
      <c r="G42" s="8">
        <f t="shared" ref="G42:G48" si="2">+E42*F42</f>
        <v>800</v>
      </c>
    </row>
    <row r="43" spans="1:20" ht="46.5" customHeight="1" x14ac:dyDescent="0.25">
      <c r="A43" s="10" t="s">
        <v>20</v>
      </c>
      <c r="B43" s="7">
        <f>D8</f>
        <v>1357</v>
      </c>
      <c r="C43" s="8"/>
      <c r="E43" s="6">
        <v>100</v>
      </c>
      <c r="F43" s="7">
        <v>3</v>
      </c>
      <c r="G43" s="8">
        <f t="shared" si="2"/>
        <v>300</v>
      </c>
    </row>
    <row r="44" spans="1:20" ht="46.5" customHeight="1" x14ac:dyDescent="0.25">
      <c r="A44" s="10" t="s">
        <v>21</v>
      </c>
      <c r="B44" s="7">
        <f>F39</f>
        <v>2355</v>
      </c>
      <c r="C44" s="8"/>
      <c r="E44" s="6">
        <v>50</v>
      </c>
      <c r="F44" s="7">
        <v>1</v>
      </c>
      <c r="G44" s="8">
        <f t="shared" si="2"/>
        <v>50</v>
      </c>
    </row>
    <row r="45" spans="1:20" ht="51.75" customHeight="1" x14ac:dyDescent="0.25">
      <c r="A45" s="10" t="s">
        <v>22</v>
      </c>
      <c r="B45" s="12">
        <f>+B42-B43-B44</f>
        <v>1253</v>
      </c>
      <c r="C45" s="13"/>
      <c r="E45" s="6">
        <v>20</v>
      </c>
      <c r="F45" s="7"/>
      <c r="G45" s="8">
        <f t="shared" si="2"/>
        <v>0</v>
      </c>
    </row>
    <row r="46" spans="1:20" ht="46.5" customHeight="1" x14ac:dyDescent="0.25">
      <c r="A46" s="10" t="s">
        <v>23</v>
      </c>
      <c r="B46" s="12">
        <f>G49</f>
        <v>1153</v>
      </c>
      <c r="C46" s="13"/>
      <c r="D46" s="1"/>
      <c r="E46" s="6">
        <v>10</v>
      </c>
      <c r="F46" s="7"/>
      <c r="G46" s="8">
        <f t="shared" si="2"/>
        <v>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/>
      <c r="G47" s="8">
        <f t="shared" si="2"/>
        <v>0</v>
      </c>
    </row>
    <row r="48" spans="1:20" ht="36.75" customHeight="1" x14ac:dyDescent="0.25">
      <c r="A48" s="10" t="s">
        <v>7</v>
      </c>
      <c r="B48" s="12">
        <f>IF(B45&gt;B46,B45-B46,0)</f>
        <v>100</v>
      </c>
      <c r="C48" s="13"/>
      <c r="E48" s="6">
        <v>1</v>
      </c>
      <c r="F48" s="7">
        <v>3</v>
      </c>
      <c r="G48" s="8">
        <f t="shared" si="2"/>
        <v>3</v>
      </c>
    </row>
    <row r="49" spans="1:7" ht="30" customHeight="1" thickBot="1" x14ac:dyDescent="0.35">
      <c r="A49" s="11" t="s">
        <v>29</v>
      </c>
      <c r="B49" s="14" t="b">
        <f>B45=B46</f>
        <v>0</v>
      </c>
      <c r="C49" s="15"/>
      <c r="E49" s="137" t="s">
        <v>25</v>
      </c>
      <c r="F49" s="138"/>
      <c r="G49" s="9">
        <f>SUM(G42:G48)</f>
        <v>1153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4" zoomScale="70" zoomScaleNormal="70" zoomScalePageLayoutView="89" workbookViewId="0">
      <selection activeCell="B49" sqref="B49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37.85546875" bestFit="1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3" width="13.5703125" customWidth="1"/>
    <col min="14" max="14" width="16.7109375" bestFit="1" customWidth="1"/>
    <col min="15" max="15" width="20.5703125" bestFit="1" customWidth="1"/>
    <col min="16" max="16" width="20.140625" bestFit="1" customWidth="1"/>
    <col min="17" max="17" width="10.5703125" customWidth="1"/>
    <col min="18" max="18" width="20.140625" bestFit="1" customWidth="1"/>
    <col min="19" max="19" width="12" bestFit="1" customWidth="1"/>
    <col min="20" max="20" width="13.7109375" bestFit="1" customWidth="1"/>
  </cols>
  <sheetData>
    <row r="1" spans="1:20" ht="15.75" hidden="1" thickBot="1" x14ac:dyDescent="0.3"/>
    <row r="2" spans="1:20" ht="25.5" customHeight="1" x14ac:dyDescent="0.3">
      <c r="A2" s="69" t="s">
        <v>0</v>
      </c>
      <c r="B2" s="69"/>
      <c r="C2" s="69"/>
      <c r="D2" s="69"/>
      <c r="E2" s="70">
        <f ca="1">TODAY()</f>
        <v>45141</v>
      </c>
      <c r="F2" s="69"/>
      <c r="G2" s="69"/>
      <c r="H2" s="69"/>
      <c r="I2" s="69"/>
      <c r="J2" s="69"/>
      <c r="K2" s="69"/>
      <c r="L2" s="69"/>
      <c r="M2" s="71"/>
      <c r="N2" s="71"/>
      <c r="O2" s="71"/>
      <c r="P2" s="71"/>
      <c r="Q2" s="71"/>
      <c r="R2" s="71"/>
      <c r="S2" s="71"/>
      <c r="T2" s="71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7" t="s">
        <v>1</v>
      </c>
      <c r="F3" s="67" t="s">
        <v>13</v>
      </c>
      <c r="G3" s="67" t="s">
        <v>5</v>
      </c>
      <c r="H3" s="67" t="s">
        <v>8</v>
      </c>
      <c r="I3" s="72" t="s">
        <v>9</v>
      </c>
      <c r="J3" s="72" t="s">
        <v>10</v>
      </c>
      <c r="K3" s="72" t="s">
        <v>11</v>
      </c>
      <c r="L3" s="72" t="s">
        <v>12</v>
      </c>
      <c r="M3" s="72" t="s">
        <v>31</v>
      </c>
      <c r="N3" s="72" t="s">
        <v>45</v>
      </c>
      <c r="O3" s="72" t="s">
        <v>32</v>
      </c>
      <c r="P3" s="72" t="s">
        <v>34</v>
      </c>
      <c r="Q3" s="72" t="s">
        <v>35</v>
      </c>
      <c r="R3" s="72" t="s">
        <v>39</v>
      </c>
      <c r="S3" s="72" t="s">
        <v>38</v>
      </c>
      <c r="T3" s="72" t="s">
        <v>40</v>
      </c>
    </row>
    <row r="4" spans="1:20" ht="25.5" customHeight="1" x14ac:dyDescent="0.25">
      <c r="A4" s="68">
        <v>45114</v>
      </c>
      <c r="B4" s="7"/>
      <c r="C4" s="7" t="s">
        <v>14</v>
      </c>
      <c r="D4" s="7">
        <v>692</v>
      </c>
      <c r="E4" s="7" t="s">
        <v>83</v>
      </c>
      <c r="F4" s="7">
        <f>SUM(G4:T4)</f>
        <v>10</v>
      </c>
      <c r="G4" s="7"/>
      <c r="H4" s="7"/>
      <c r="I4" s="7"/>
      <c r="J4" s="7"/>
      <c r="K4" s="7"/>
      <c r="L4" s="7"/>
      <c r="M4" s="7"/>
      <c r="N4" s="7"/>
      <c r="O4" s="7"/>
      <c r="P4" s="7">
        <v>10</v>
      </c>
      <c r="Q4" s="7"/>
      <c r="R4" s="7"/>
      <c r="S4" s="7"/>
      <c r="T4" s="7"/>
    </row>
    <row r="5" spans="1:20" ht="25.5" customHeight="1" x14ac:dyDescent="0.25">
      <c r="A5" s="68">
        <v>45114</v>
      </c>
      <c r="B5" s="7"/>
      <c r="C5" s="7" t="s">
        <v>15</v>
      </c>
      <c r="D5" s="7">
        <v>1752</v>
      </c>
      <c r="E5" s="7" t="s">
        <v>125</v>
      </c>
      <c r="F5" s="7">
        <f t="shared" ref="F5:F38" si="0">SUM(G5:T5)</f>
        <v>90</v>
      </c>
      <c r="G5" s="7"/>
      <c r="H5" s="7"/>
      <c r="I5" s="7"/>
      <c r="J5" s="7"/>
      <c r="K5" s="7"/>
      <c r="L5" s="7">
        <v>90</v>
      </c>
      <c r="M5" s="7"/>
      <c r="N5" s="7"/>
      <c r="O5" s="7"/>
      <c r="P5" s="7"/>
      <c r="Q5" s="7"/>
      <c r="R5" s="7"/>
      <c r="S5" s="7"/>
      <c r="T5" s="7"/>
    </row>
    <row r="6" spans="1:20" ht="25.5" customHeight="1" x14ac:dyDescent="0.25">
      <c r="A6" s="68">
        <v>45114</v>
      </c>
      <c r="B6" s="7"/>
      <c r="C6" s="7" t="s">
        <v>16</v>
      </c>
      <c r="D6" s="7">
        <v>0</v>
      </c>
      <c r="E6" s="7" t="s">
        <v>124</v>
      </c>
      <c r="F6" s="7">
        <f t="shared" si="0"/>
        <v>30</v>
      </c>
      <c r="G6" s="7"/>
      <c r="H6" s="7"/>
      <c r="I6" s="7"/>
      <c r="J6" s="7"/>
      <c r="K6" s="7"/>
      <c r="L6" s="7"/>
      <c r="M6" s="7">
        <v>30</v>
      </c>
      <c r="N6" s="7"/>
      <c r="O6" s="7"/>
      <c r="P6" s="7"/>
      <c r="Q6" s="7"/>
      <c r="R6" s="7"/>
      <c r="S6" s="7"/>
      <c r="T6" s="7"/>
    </row>
    <row r="7" spans="1:20" ht="25.5" customHeight="1" x14ac:dyDescent="0.25">
      <c r="A7" s="68">
        <v>45114</v>
      </c>
      <c r="B7" s="7"/>
      <c r="C7" s="7" t="s">
        <v>17</v>
      </c>
      <c r="D7" s="7">
        <v>170</v>
      </c>
      <c r="E7" s="7" t="s">
        <v>129</v>
      </c>
      <c r="F7" s="7">
        <f t="shared" si="0"/>
        <v>450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>
        <v>450</v>
      </c>
    </row>
    <row r="8" spans="1:20" ht="25.5" customHeight="1" x14ac:dyDescent="0.25">
      <c r="A8" s="68">
        <v>45114</v>
      </c>
      <c r="B8" s="7"/>
      <c r="C8" s="7" t="s">
        <v>18</v>
      </c>
      <c r="D8" s="7">
        <f>66+1000+25</f>
        <v>1091</v>
      </c>
      <c r="E8" s="7" t="s">
        <v>164</v>
      </c>
      <c r="F8" s="7">
        <f t="shared" si="0"/>
        <v>25</v>
      </c>
      <c r="G8" s="7"/>
      <c r="H8" s="7"/>
      <c r="I8" s="7"/>
      <c r="J8" s="7"/>
      <c r="K8" s="7"/>
      <c r="L8" s="7"/>
      <c r="M8" s="7"/>
      <c r="N8" s="7">
        <v>25</v>
      </c>
      <c r="O8" s="7"/>
      <c r="P8" s="7"/>
      <c r="Q8" s="7"/>
      <c r="R8" s="7"/>
      <c r="S8" s="7"/>
      <c r="T8" s="7"/>
    </row>
    <row r="9" spans="1:20" ht="25.5" customHeight="1" x14ac:dyDescent="0.25">
      <c r="A9" s="68">
        <v>45114</v>
      </c>
      <c r="B9" s="7"/>
      <c r="C9" s="7" t="s">
        <v>30</v>
      </c>
      <c r="D9" s="7">
        <v>0</v>
      </c>
      <c r="E9" s="7" t="s">
        <v>86</v>
      </c>
      <c r="F9" s="7">
        <f t="shared" si="0"/>
        <v>170</v>
      </c>
      <c r="G9" s="7">
        <v>170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45114</v>
      </c>
      <c r="B10" s="7"/>
      <c r="C10" s="7" t="s">
        <v>46</v>
      </c>
      <c r="D10" s="7">
        <v>0</v>
      </c>
      <c r="E10" s="7" t="s">
        <v>88</v>
      </c>
      <c r="F10" s="7">
        <f t="shared" si="0"/>
        <v>160</v>
      </c>
      <c r="G10" s="7">
        <v>160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45114</v>
      </c>
      <c r="B11" s="7"/>
      <c r="C11" s="7"/>
      <c r="D11" s="7"/>
      <c r="E11" s="7" t="s">
        <v>90</v>
      </c>
      <c r="F11" s="7">
        <f t="shared" si="0"/>
        <v>50</v>
      </c>
      <c r="G11" s="7">
        <v>50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45114</v>
      </c>
      <c r="B12" s="7"/>
      <c r="C12" s="7"/>
      <c r="D12" s="7"/>
      <c r="E12" s="7" t="s">
        <v>103</v>
      </c>
      <c r="F12" s="7">
        <f t="shared" si="0"/>
        <v>160</v>
      </c>
      <c r="G12" s="7">
        <v>160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45114</v>
      </c>
      <c r="B13" s="7"/>
      <c r="C13" s="7"/>
      <c r="D13" s="7"/>
      <c r="E13" s="7" t="s">
        <v>87</v>
      </c>
      <c r="F13" s="7">
        <f t="shared" si="0"/>
        <v>150</v>
      </c>
      <c r="G13" s="7">
        <v>150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45114</v>
      </c>
      <c r="B14" s="7"/>
      <c r="C14" s="7"/>
      <c r="D14" s="7"/>
      <c r="E14" s="7" t="s">
        <v>91</v>
      </c>
      <c r="F14" s="7">
        <f t="shared" si="0"/>
        <v>200</v>
      </c>
      <c r="G14" s="7">
        <v>200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45114</v>
      </c>
      <c r="B15" s="7"/>
      <c r="C15" s="7"/>
      <c r="D15" s="7"/>
      <c r="E15" s="7" t="s">
        <v>92</v>
      </c>
      <c r="F15" s="7">
        <f t="shared" si="0"/>
        <v>100</v>
      </c>
      <c r="G15" s="7">
        <v>100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45114</v>
      </c>
      <c r="B16" s="7"/>
      <c r="C16" s="7"/>
      <c r="D16" s="7"/>
      <c r="E16" s="7" t="s">
        <v>96</v>
      </c>
      <c r="F16" s="7">
        <f t="shared" si="0"/>
        <v>170</v>
      </c>
      <c r="G16" s="7">
        <v>170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45114</v>
      </c>
      <c r="B17" s="7"/>
      <c r="C17" s="7"/>
      <c r="D17" s="7"/>
      <c r="E17" s="7" t="s">
        <v>98</v>
      </c>
      <c r="F17" s="7">
        <f t="shared" si="0"/>
        <v>140</v>
      </c>
      <c r="G17" s="7">
        <v>140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45114</v>
      </c>
      <c r="B18" s="7"/>
      <c r="C18" s="7"/>
      <c r="D18" s="7"/>
      <c r="E18" s="7" t="s">
        <v>106</v>
      </c>
      <c r="F18" s="7">
        <f t="shared" si="0"/>
        <v>50</v>
      </c>
      <c r="G18" s="7">
        <v>50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45114</v>
      </c>
      <c r="B19" s="7"/>
      <c r="C19" s="7"/>
      <c r="D19" s="7"/>
      <c r="E19" s="7" t="s">
        <v>93</v>
      </c>
      <c r="F19" s="7">
        <f t="shared" si="0"/>
        <v>50</v>
      </c>
      <c r="G19" s="7">
        <v>50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45114</v>
      </c>
      <c r="B20" s="7"/>
      <c r="C20" s="7"/>
      <c r="D20" s="7"/>
      <c r="E20" s="7" t="s">
        <v>99</v>
      </c>
      <c r="F20" s="7">
        <f t="shared" si="0"/>
        <v>150</v>
      </c>
      <c r="G20" s="7">
        <v>150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45114</v>
      </c>
      <c r="B21" s="7"/>
      <c r="C21" s="7"/>
      <c r="D21" s="7"/>
      <c r="E21" s="7" t="s">
        <v>107</v>
      </c>
      <c r="F21" s="7">
        <f t="shared" si="0"/>
        <v>30</v>
      </c>
      <c r="G21" s="7">
        <v>30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>
        <v>45114</v>
      </c>
      <c r="B22" s="7"/>
      <c r="C22" s="7"/>
      <c r="D22" s="7"/>
      <c r="E22" s="7"/>
      <c r="F22" s="7">
        <f t="shared" si="0"/>
        <v>0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>
        <v>45114</v>
      </c>
      <c r="B23" s="7"/>
      <c r="C23" s="7"/>
      <c r="D23" s="7"/>
      <c r="E23" s="7"/>
      <c r="F23" s="7">
        <f t="shared" si="0"/>
        <v>0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>
        <v>45114</v>
      </c>
      <c r="B24" s="7"/>
      <c r="C24" s="7"/>
      <c r="D24" s="7"/>
      <c r="E24" s="7"/>
      <c r="F24" s="7">
        <f t="shared" si="0"/>
        <v>0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>
        <v>45114</v>
      </c>
      <c r="B25" s="7"/>
      <c r="C25" s="7"/>
      <c r="D25" s="7"/>
      <c r="E25" s="7"/>
      <c r="F25" s="7">
        <f t="shared" si="0"/>
        <v>0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>
        <v>45114</v>
      </c>
      <c r="B26" s="7"/>
      <c r="C26" s="7"/>
      <c r="D26" s="7"/>
      <c r="E26" s="7"/>
      <c r="F26" s="7">
        <f t="shared" si="0"/>
        <v>0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3705</v>
      </c>
      <c r="E39" s="119"/>
      <c r="F39" s="7">
        <f>SUM(F4:F38)</f>
        <v>2185</v>
      </c>
      <c r="G39" s="7">
        <f t="shared" ref="G39:T39" si="1">SUM(G4:G38)</f>
        <v>1580</v>
      </c>
      <c r="H39" s="7">
        <f t="shared" si="1"/>
        <v>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90</v>
      </c>
      <c r="M39" s="7">
        <f t="shared" si="1"/>
        <v>30</v>
      </c>
      <c r="N39" s="7">
        <f t="shared" si="1"/>
        <v>25</v>
      </c>
      <c r="O39" s="7">
        <f t="shared" si="1"/>
        <v>0</v>
      </c>
      <c r="P39" s="7">
        <f t="shared" si="1"/>
        <v>10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450</v>
      </c>
    </row>
    <row r="40" spans="1:20" ht="15.75" thickBot="1" x14ac:dyDescent="0.3"/>
    <row r="41" spans="1:20" ht="30.75" customHeight="1" thickTop="1" thickBot="1" x14ac:dyDescent="0.3">
      <c r="A41" s="142" t="s">
        <v>36</v>
      </c>
      <c r="B41" s="143"/>
      <c r="C41" s="143"/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3705</v>
      </c>
      <c r="C42" s="8"/>
      <c r="E42" s="6">
        <v>200</v>
      </c>
      <c r="F42" s="7">
        <v>1</v>
      </c>
      <c r="G42" s="8">
        <f t="shared" ref="G42:G48" si="2">+E42*F42</f>
        <v>200</v>
      </c>
    </row>
    <row r="43" spans="1:20" ht="46.5" customHeight="1" x14ac:dyDescent="0.25">
      <c r="A43" s="10" t="s">
        <v>20</v>
      </c>
      <c r="B43" s="7">
        <f>D8</f>
        <v>1091</v>
      </c>
      <c r="C43" s="8"/>
      <c r="E43" s="6">
        <v>100</v>
      </c>
      <c r="F43" s="7">
        <v>2</v>
      </c>
      <c r="G43" s="8">
        <f t="shared" si="2"/>
        <v>200</v>
      </c>
    </row>
    <row r="44" spans="1:20" ht="46.5" customHeight="1" x14ac:dyDescent="0.25">
      <c r="A44" s="10" t="s">
        <v>21</v>
      </c>
      <c r="B44" s="7">
        <f>F39</f>
        <v>2185</v>
      </c>
      <c r="C44" s="8"/>
      <c r="E44" s="6">
        <v>50</v>
      </c>
      <c r="F44" s="7"/>
      <c r="G44" s="8">
        <f t="shared" si="2"/>
        <v>0</v>
      </c>
    </row>
    <row r="45" spans="1:20" ht="51.75" customHeight="1" x14ac:dyDescent="0.25">
      <c r="A45" s="10" t="s">
        <v>22</v>
      </c>
      <c r="B45" s="12">
        <f>+B42-B43-B44</f>
        <v>429</v>
      </c>
      <c r="C45" s="13"/>
      <c r="E45" s="6">
        <v>20</v>
      </c>
      <c r="F45" s="7"/>
      <c r="G45" s="8">
        <f t="shared" si="2"/>
        <v>0</v>
      </c>
    </row>
    <row r="46" spans="1:20" ht="46.5" customHeight="1" x14ac:dyDescent="0.25">
      <c r="A46" s="10" t="s">
        <v>23</v>
      </c>
      <c r="B46" s="12">
        <f>G49</f>
        <v>429</v>
      </c>
      <c r="C46" s="13"/>
      <c r="D46" s="1"/>
      <c r="E46" s="6">
        <v>10</v>
      </c>
      <c r="F46" s="7"/>
      <c r="G46" s="8">
        <f t="shared" si="2"/>
        <v>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5</v>
      </c>
      <c r="G47" s="8">
        <f t="shared" si="2"/>
        <v>25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4</v>
      </c>
      <c r="G48" s="8">
        <f t="shared" si="2"/>
        <v>4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429</v>
      </c>
    </row>
    <row r="50" spans="1:7" ht="15.75" thickTop="1" x14ac:dyDescent="0.25"/>
  </sheetData>
  <mergeCells count="3">
    <mergeCell ref="A39:C39"/>
    <mergeCell ref="E49:F49"/>
    <mergeCell ref="A41:C4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26" zoomScale="70" zoomScaleNormal="70" workbookViewId="0">
      <selection activeCell="B49" sqref="B49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8554687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5703125" customWidth="1"/>
    <col min="18" max="18" width="18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84" t="s">
        <v>0</v>
      </c>
      <c r="B2" s="85"/>
      <c r="C2" s="85"/>
      <c r="D2" s="86"/>
      <c r="E2" s="135">
        <f ca="1">TODAY()</f>
        <v>45141</v>
      </c>
      <c r="F2" s="136"/>
      <c r="G2" s="136"/>
      <c r="H2" s="136"/>
      <c r="I2" s="136"/>
      <c r="J2" s="136"/>
      <c r="K2" s="136"/>
      <c r="L2" s="136"/>
      <c r="M2" s="65"/>
      <c r="N2" s="65"/>
      <c r="O2" s="65"/>
      <c r="P2" s="65"/>
      <c r="Q2" s="65"/>
      <c r="R2" s="65"/>
      <c r="S2" s="65"/>
      <c r="T2" s="65"/>
    </row>
    <row r="3" spans="1:20" ht="36.75" customHeight="1" x14ac:dyDescent="0.25">
      <c r="A3" s="64" t="s">
        <v>4</v>
      </c>
      <c r="B3" s="64" t="s">
        <v>3</v>
      </c>
      <c r="C3" s="64" t="s">
        <v>1</v>
      </c>
      <c r="D3" s="64" t="s">
        <v>2</v>
      </c>
      <c r="E3" s="64" t="s">
        <v>1</v>
      </c>
      <c r="F3" s="64" t="s">
        <v>13</v>
      </c>
      <c r="G3" s="64" t="s">
        <v>5</v>
      </c>
      <c r="H3" s="87" t="s">
        <v>8</v>
      </c>
      <c r="I3" s="88" t="s">
        <v>9</v>
      </c>
      <c r="J3" s="88" t="s">
        <v>10</v>
      </c>
      <c r="K3" s="88" t="s">
        <v>11</v>
      </c>
      <c r="L3" s="88" t="s">
        <v>12</v>
      </c>
      <c r="M3" s="88" t="s">
        <v>31</v>
      </c>
      <c r="N3" s="88" t="s">
        <v>45</v>
      </c>
      <c r="O3" s="88" t="s">
        <v>32</v>
      </c>
      <c r="P3" s="88" t="s">
        <v>34</v>
      </c>
      <c r="Q3" s="88" t="s">
        <v>35</v>
      </c>
      <c r="R3" s="88" t="s">
        <v>39</v>
      </c>
      <c r="S3" s="88" t="s">
        <v>38</v>
      </c>
      <c r="T3" s="89" t="s">
        <v>40</v>
      </c>
    </row>
    <row r="4" spans="1:20" ht="25.5" customHeight="1" x14ac:dyDescent="0.25">
      <c r="A4" s="68">
        <v>45115</v>
      </c>
      <c r="B4" s="7"/>
      <c r="C4" s="7" t="s">
        <v>14</v>
      </c>
      <c r="D4" s="7">
        <v>904</v>
      </c>
      <c r="E4" s="7" t="s">
        <v>163</v>
      </c>
      <c r="F4" s="7">
        <f>SUM(G4:T4)</f>
        <v>55</v>
      </c>
      <c r="G4" s="7"/>
      <c r="H4" s="90">
        <v>55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25.5" customHeight="1" x14ac:dyDescent="0.25">
      <c r="A5" s="68">
        <v>45115</v>
      </c>
      <c r="B5" s="7"/>
      <c r="C5" s="7" t="s">
        <v>15</v>
      </c>
      <c r="D5" s="7">
        <v>2569</v>
      </c>
      <c r="E5" s="7" t="s">
        <v>83</v>
      </c>
      <c r="F5" s="7">
        <f t="shared" ref="F5:F38" si="0">SUM(G5:T5)</f>
        <v>10</v>
      </c>
      <c r="G5" s="7"/>
      <c r="H5" s="90"/>
      <c r="I5" s="7"/>
      <c r="J5" s="7"/>
      <c r="K5" s="7"/>
      <c r="L5" s="7"/>
      <c r="M5" s="7"/>
      <c r="N5" s="7"/>
      <c r="O5" s="7"/>
      <c r="P5" s="7">
        <v>10</v>
      </c>
      <c r="Q5" s="7"/>
      <c r="R5" s="7"/>
      <c r="S5" s="7"/>
      <c r="T5" s="7"/>
    </row>
    <row r="6" spans="1:20" ht="25.5" customHeight="1" x14ac:dyDescent="0.25">
      <c r="A6" s="68">
        <v>45115</v>
      </c>
      <c r="B6" s="7"/>
      <c r="C6" s="7" t="s">
        <v>16</v>
      </c>
      <c r="D6" s="7">
        <v>0</v>
      </c>
      <c r="E6" s="7" t="s">
        <v>166</v>
      </c>
      <c r="F6" s="7">
        <f t="shared" si="0"/>
        <v>170</v>
      </c>
      <c r="G6" s="7"/>
      <c r="H6" s="90"/>
      <c r="I6" s="7"/>
      <c r="J6" s="7"/>
      <c r="K6" s="7"/>
      <c r="L6" s="7"/>
      <c r="M6" s="7"/>
      <c r="N6" s="7"/>
      <c r="O6" s="7"/>
      <c r="P6" s="7">
        <v>170</v>
      </c>
      <c r="Q6" s="7"/>
      <c r="R6" s="7"/>
      <c r="S6" s="7"/>
      <c r="T6" s="7"/>
    </row>
    <row r="7" spans="1:20" ht="25.5" customHeight="1" x14ac:dyDescent="0.25">
      <c r="A7" s="68">
        <v>45115</v>
      </c>
      <c r="B7" s="7"/>
      <c r="C7" s="7" t="s">
        <v>17</v>
      </c>
      <c r="D7" s="7">
        <v>205</v>
      </c>
      <c r="E7" s="7" t="s">
        <v>167</v>
      </c>
      <c r="F7" s="7">
        <f t="shared" si="0"/>
        <v>235</v>
      </c>
      <c r="G7" s="7"/>
      <c r="H7" s="90"/>
      <c r="I7" s="7"/>
      <c r="J7" s="7"/>
      <c r="K7" s="7"/>
      <c r="L7" s="7"/>
      <c r="M7" s="7"/>
      <c r="N7" s="7">
        <v>235</v>
      </c>
      <c r="O7" s="7"/>
      <c r="P7" s="7"/>
      <c r="Q7" s="7"/>
      <c r="R7" s="7"/>
      <c r="S7" s="7"/>
      <c r="T7" s="7"/>
    </row>
    <row r="8" spans="1:20" ht="25.5" customHeight="1" x14ac:dyDescent="0.25">
      <c r="A8" s="68">
        <v>45115</v>
      </c>
      <c r="B8" s="7"/>
      <c r="C8" s="7" t="s">
        <v>18</v>
      </c>
      <c r="D8" s="7">
        <f>20+75+25+50+55+130</f>
        <v>355</v>
      </c>
      <c r="E8" s="7" t="s">
        <v>129</v>
      </c>
      <c r="F8" s="7">
        <f t="shared" si="0"/>
        <v>300</v>
      </c>
      <c r="G8" s="7"/>
      <c r="H8" s="9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>
        <v>300</v>
      </c>
    </row>
    <row r="9" spans="1:20" ht="25.5" customHeight="1" x14ac:dyDescent="0.25">
      <c r="A9" s="68">
        <v>45115</v>
      </c>
      <c r="B9" s="7"/>
      <c r="C9" s="7" t="s">
        <v>30</v>
      </c>
      <c r="D9" s="7">
        <v>0</v>
      </c>
      <c r="E9" s="92" t="s">
        <v>87</v>
      </c>
      <c r="F9" s="7">
        <f t="shared" si="0"/>
        <v>150</v>
      </c>
      <c r="G9" s="7">
        <v>150</v>
      </c>
      <c r="H9" s="9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25.5" customHeight="1" x14ac:dyDescent="0.25">
      <c r="A10" s="68">
        <v>45115</v>
      </c>
      <c r="B10" s="7"/>
      <c r="C10" s="7" t="s">
        <v>46</v>
      </c>
      <c r="D10" s="7"/>
      <c r="E10" s="7" t="s">
        <v>103</v>
      </c>
      <c r="F10" s="7">
        <f t="shared" si="0"/>
        <v>160</v>
      </c>
      <c r="G10" s="7">
        <v>160</v>
      </c>
      <c r="H10" s="9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25.5" customHeight="1" x14ac:dyDescent="0.25">
      <c r="A11" s="68">
        <v>45115</v>
      </c>
      <c r="B11" s="7"/>
      <c r="C11" s="7"/>
      <c r="D11" s="7"/>
      <c r="E11" s="7" t="s">
        <v>90</v>
      </c>
      <c r="F11" s="7">
        <f t="shared" si="0"/>
        <v>50</v>
      </c>
      <c r="G11" s="7">
        <v>50</v>
      </c>
      <c r="H11" s="9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5.5" customHeight="1" x14ac:dyDescent="0.25">
      <c r="A12" s="68">
        <v>45115</v>
      </c>
      <c r="B12" s="7"/>
      <c r="C12" s="7"/>
      <c r="D12" s="7"/>
      <c r="E12" s="7" t="s">
        <v>88</v>
      </c>
      <c r="F12" s="7">
        <f t="shared" si="0"/>
        <v>160</v>
      </c>
      <c r="G12" s="7">
        <v>160</v>
      </c>
      <c r="H12" s="9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5.5" customHeight="1" x14ac:dyDescent="0.25">
      <c r="A13" s="68">
        <v>45115</v>
      </c>
      <c r="B13" s="7"/>
      <c r="C13" s="7"/>
      <c r="D13" s="7"/>
      <c r="E13" s="7" t="s">
        <v>92</v>
      </c>
      <c r="F13" s="7">
        <f t="shared" si="0"/>
        <v>100</v>
      </c>
      <c r="G13" s="7">
        <v>100</v>
      </c>
      <c r="H13" s="9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5.5" customHeight="1" x14ac:dyDescent="0.25">
      <c r="A14" s="68">
        <v>45115</v>
      </c>
      <c r="B14" s="7"/>
      <c r="C14" s="7"/>
      <c r="D14" s="7"/>
      <c r="E14" s="7" t="s">
        <v>86</v>
      </c>
      <c r="F14" s="7">
        <f t="shared" si="0"/>
        <v>170</v>
      </c>
      <c r="G14" s="7">
        <v>170</v>
      </c>
      <c r="H14" s="9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5.5" customHeight="1" x14ac:dyDescent="0.25">
      <c r="A15" s="68">
        <v>45115</v>
      </c>
      <c r="B15" s="7"/>
      <c r="C15" s="7"/>
      <c r="D15" s="7"/>
      <c r="E15" s="7" t="s">
        <v>168</v>
      </c>
      <c r="F15" s="7">
        <f t="shared" si="0"/>
        <v>300</v>
      </c>
      <c r="G15" s="7">
        <v>300</v>
      </c>
      <c r="H15" s="9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5.5" customHeight="1" x14ac:dyDescent="0.25">
      <c r="A16" s="68">
        <v>45115</v>
      </c>
      <c r="B16" s="7"/>
      <c r="C16" s="7"/>
      <c r="D16" s="7"/>
      <c r="E16" s="7" t="s">
        <v>91</v>
      </c>
      <c r="F16" s="7">
        <f t="shared" si="0"/>
        <v>200</v>
      </c>
      <c r="G16" s="7">
        <v>200</v>
      </c>
      <c r="H16" s="9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5.5" customHeight="1" x14ac:dyDescent="0.25">
      <c r="A17" s="68">
        <v>45115</v>
      </c>
      <c r="B17" s="7"/>
      <c r="C17" s="7"/>
      <c r="D17" s="7"/>
      <c r="E17" s="7" t="s">
        <v>96</v>
      </c>
      <c r="F17" s="7">
        <f t="shared" si="0"/>
        <v>170</v>
      </c>
      <c r="G17" s="7">
        <v>170</v>
      </c>
      <c r="H17" s="9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5.5" customHeight="1" x14ac:dyDescent="0.25">
      <c r="A18" s="68">
        <v>45115</v>
      </c>
      <c r="B18" s="7"/>
      <c r="C18" s="7"/>
      <c r="D18" s="7"/>
      <c r="E18" s="7" t="s">
        <v>99</v>
      </c>
      <c r="F18" s="7">
        <f t="shared" si="0"/>
        <v>150</v>
      </c>
      <c r="G18" s="7">
        <v>150</v>
      </c>
      <c r="H18" s="9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5.5" customHeight="1" x14ac:dyDescent="0.25">
      <c r="A19" s="68">
        <v>45115</v>
      </c>
      <c r="B19" s="7"/>
      <c r="C19" s="7"/>
      <c r="D19" s="7"/>
      <c r="E19" s="7" t="s">
        <v>98</v>
      </c>
      <c r="F19" s="7">
        <f t="shared" si="0"/>
        <v>120</v>
      </c>
      <c r="G19" s="7">
        <v>120</v>
      </c>
      <c r="H19" s="9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5.5" customHeight="1" x14ac:dyDescent="0.25">
      <c r="A20" s="68">
        <v>45115</v>
      </c>
      <c r="B20" s="7"/>
      <c r="C20" s="7"/>
      <c r="D20" s="7"/>
      <c r="E20" s="7" t="s">
        <v>93</v>
      </c>
      <c r="F20" s="7">
        <f t="shared" si="0"/>
        <v>50</v>
      </c>
      <c r="G20" s="7">
        <v>50</v>
      </c>
      <c r="H20" s="9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5.5" customHeight="1" x14ac:dyDescent="0.25">
      <c r="A21" s="68">
        <v>45115</v>
      </c>
      <c r="B21" s="7"/>
      <c r="C21" s="7"/>
      <c r="D21" s="7"/>
      <c r="E21" s="7" t="s">
        <v>106</v>
      </c>
      <c r="F21" s="7">
        <f t="shared" si="0"/>
        <v>50</v>
      </c>
      <c r="G21" s="7">
        <v>50</v>
      </c>
      <c r="H21" s="9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5.5" customHeight="1" x14ac:dyDescent="0.25">
      <c r="A22" s="68"/>
      <c r="B22" s="7"/>
      <c r="C22" s="7"/>
      <c r="D22" s="7"/>
      <c r="E22" s="7" t="s">
        <v>107</v>
      </c>
      <c r="F22" s="7">
        <f t="shared" si="0"/>
        <v>30</v>
      </c>
      <c r="G22" s="7">
        <v>30</v>
      </c>
      <c r="H22" s="9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5.5" customHeight="1" x14ac:dyDescent="0.25">
      <c r="A23" s="68"/>
      <c r="B23" s="7"/>
      <c r="C23" s="7"/>
      <c r="D23" s="7"/>
      <c r="E23" s="7"/>
      <c r="F23" s="7">
        <f t="shared" si="0"/>
        <v>0</v>
      </c>
      <c r="G23" s="7"/>
      <c r="H23" s="9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5.5" customHeight="1" x14ac:dyDescent="0.25">
      <c r="A24" s="68"/>
      <c r="B24" s="7"/>
      <c r="C24" s="7"/>
      <c r="D24" s="7"/>
      <c r="E24" s="7"/>
      <c r="F24" s="7">
        <f t="shared" si="0"/>
        <v>0</v>
      </c>
      <c r="G24" s="7"/>
      <c r="H24" s="9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5.5" customHeight="1" x14ac:dyDescent="0.25">
      <c r="A25" s="68"/>
      <c r="B25" s="7"/>
      <c r="C25" s="7"/>
      <c r="D25" s="7"/>
      <c r="E25" s="7"/>
      <c r="F25" s="7">
        <f t="shared" si="0"/>
        <v>0</v>
      </c>
      <c r="G25" s="7"/>
      <c r="H25" s="9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5.5" customHeight="1" x14ac:dyDescent="0.25">
      <c r="A26" s="68"/>
      <c r="B26" s="7"/>
      <c r="C26" s="7"/>
      <c r="D26" s="7"/>
      <c r="E26" s="7"/>
      <c r="F26" s="7">
        <f t="shared" si="0"/>
        <v>0</v>
      </c>
      <c r="G26" s="7"/>
      <c r="H26" s="9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5.5" customHeight="1" x14ac:dyDescent="0.25">
      <c r="A27" s="68"/>
      <c r="B27" s="7"/>
      <c r="C27" s="7"/>
      <c r="D27" s="7"/>
      <c r="E27" s="7"/>
      <c r="F27" s="7">
        <f t="shared" si="0"/>
        <v>0</v>
      </c>
      <c r="G27" s="7"/>
      <c r="H27" s="9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25.5" customHeight="1" x14ac:dyDescent="0.25">
      <c r="A28" s="68"/>
      <c r="B28" s="7"/>
      <c r="C28" s="7"/>
      <c r="D28" s="7"/>
      <c r="E28" s="7"/>
      <c r="F28" s="7">
        <f t="shared" si="0"/>
        <v>0</v>
      </c>
      <c r="G28" s="7"/>
      <c r="H28" s="9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25.5" customHeight="1" x14ac:dyDescent="0.25">
      <c r="A29" s="68"/>
      <c r="B29" s="7"/>
      <c r="C29" s="7"/>
      <c r="D29" s="7"/>
      <c r="E29" s="7"/>
      <c r="F29" s="7">
        <f t="shared" si="0"/>
        <v>0</v>
      </c>
      <c r="G29" s="7"/>
      <c r="H29" s="9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25.5" customHeight="1" x14ac:dyDescent="0.25">
      <c r="A30" s="68"/>
      <c r="B30" s="7"/>
      <c r="C30" s="7"/>
      <c r="D30" s="7"/>
      <c r="E30" s="7"/>
      <c r="F30" s="7">
        <f t="shared" si="0"/>
        <v>0</v>
      </c>
      <c r="G30" s="7"/>
      <c r="H30" s="9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25.5" customHeight="1" x14ac:dyDescent="0.25">
      <c r="A31" s="68"/>
      <c r="B31" s="7"/>
      <c r="C31" s="7"/>
      <c r="D31" s="7"/>
      <c r="E31" s="7"/>
      <c r="F31" s="7">
        <f t="shared" si="0"/>
        <v>0</v>
      </c>
      <c r="G31" s="7"/>
      <c r="H31" s="9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25.5" customHeight="1" x14ac:dyDescent="0.25">
      <c r="A32" s="68"/>
      <c r="B32" s="7"/>
      <c r="C32" s="7"/>
      <c r="D32" s="7"/>
      <c r="E32" s="7"/>
      <c r="F32" s="7">
        <f t="shared" si="0"/>
        <v>0</v>
      </c>
      <c r="G32" s="7"/>
      <c r="H32" s="90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25.5" customHeight="1" x14ac:dyDescent="0.25">
      <c r="A33" s="68"/>
      <c r="B33" s="7"/>
      <c r="C33" s="7"/>
      <c r="D33" s="7"/>
      <c r="E33" s="7"/>
      <c r="F33" s="7">
        <f t="shared" si="0"/>
        <v>0</v>
      </c>
      <c r="G33" s="7"/>
      <c r="H33" s="90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25.5" customHeight="1" x14ac:dyDescent="0.25">
      <c r="A34" s="68"/>
      <c r="B34" s="7"/>
      <c r="C34" s="7"/>
      <c r="D34" s="7"/>
      <c r="E34" s="7"/>
      <c r="F34" s="7">
        <f t="shared" si="0"/>
        <v>0</v>
      </c>
      <c r="G34" s="7"/>
      <c r="H34" s="90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25.5" customHeight="1" x14ac:dyDescent="0.25">
      <c r="A35" s="68"/>
      <c r="B35" s="7"/>
      <c r="C35" s="7"/>
      <c r="D35" s="7"/>
      <c r="E35" s="7"/>
      <c r="F35" s="7">
        <f t="shared" si="0"/>
        <v>0</v>
      </c>
      <c r="G35" s="7"/>
      <c r="H35" s="90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25.5" customHeight="1" x14ac:dyDescent="0.25">
      <c r="A36" s="68"/>
      <c r="B36" s="7"/>
      <c r="C36" s="7"/>
      <c r="D36" s="7"/>
      <c r="E36" s="7"/>
      <c r="F36" s="7">
        <f t="shared" si="0"/>
        <v>0</v>
      </c>
      <c r="G36" s="7"/>
      <c r="H36" s="9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25.5" customHeight="1" x14ac:dyDescent="0.25">
      <c r="A37" s="68"/>
      <c r="B37" s="7"/>
      <c r="C37" s="7"/>
      <c r="D37" s="7"/>
      <c r="E37" s="7"/>
      <c r="F37" s="7">
        <f t="shared" si="0"/>
        <v>0</v>
      </c>
      <c r="G37" s="7"/>
      <c r="H37" s="9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25.5" customHeight="1" x14ac:dyDescent="0.25">
      <c r="A38" s="68"/>
      <c r="B38" s="7"/>
      <c r="C38" s="7"/>
      <c r="D38" s="7"/>
      <c r="E38" s="7"/>
      <c r="F38" s="7">
        <f t="shared" si="0"/>
        <v>0</v>
      </c>
      <c r="G38" s="7"/>
      <c r="H38" s="9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41.25" customHeight="1" x14ac:dyDescent="0.25">
      <c r="A39" s="139" t="s">
        <v>6</v>
      </c>
      <c r="B39" s="139"/>
      <c r="C39" s="139"/>
      <c r="D39" s="7">
        <f>SUM(D4:D38)</f>
        <v>4033</v>
      </c>
      <c r="E39" s="119"/>
      <c r="F39" s="7">
        <f>SUM(F4:F38)</f>
        <v>2630</v>
      </c>
      <c r="G39" s="7">
        <f t="shared" ref="G39:T39" si="1">SUM(G4:G38)</f>
        <v>1860</v>
      </c>
      <c r="H39" s="90">
        <f t="shared" si="1"/>
        <v>55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235</v>
      </c>
      <c r="O39" s="7">
        <f t="shared" si="1"/>
        <v>0</v>
      </c>
      <c r="P39" s="7">
        <f t="shared" si="1"/>
        <v>180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300</v>
      </c>
    </row>
    <row r="40" spans="1:20" ht="15.75" thickBot="1" x14ac:dyDescent="0.3"/>
    <row r="41" spans="1:20" ht="30.75" customHeight="1" thickTop="1" thickBot="1" x14ac:dyDescent="0.3">
      <c r="E41" s="3" t="s">
        <v>26</v>
      </c>
      <c r="F41" s="4" t="s">
        <v>27</v>
      </c>
      <c r="G41" s="5" t="s">
        <v>28</v>
      </c>
    </row>
    <row r="42" spans="1:20" ht="48.75" customHeight="1" thickTop="1" x14ac:dyDescent="0.25">
      <c r="A42" s="3" t="s">
        <v>19</v>
      </c>
      <c r="B42" s="7">
        <f>+D39</f>
        <v>4033</v>
      </c>
      <c r="C42" s="8"/>
      <c r="E42" s="6">
        <v>200</v>
      </c>
      <c r="F42" s="7">
        <v>1</v>
      </c>
      <c r="G42" s="8">
        <f t="shared" ref="G42:G48" si="2">+E42*F42</f>
        <v>200</v>
      </c>
    </row>
    <row r="43" spans="1:20" ht="46.5" customHeight="1" x14ac:dyDescent="0.25">
      <c r="A43" s="10" t="s">
        <v>20</v>
      </c>
      <c r="B43" s="7">
        <f>D8</f>
        <v>355</v>
      </c>
      <c r="C43" s="8"/>
      <c r="E43" s="6">
        <v>100</v>
      </c>
      <c r="F43" s="7">
        <v>3</v>
      </c>
      <c r="G43" s="8">
        <f t="shared" si="2"/>
        <v>300</v>
      </c>
    </row>
    <row r="44" spans="1:20" ht="46.5" customHeight="1" x14ac:dyDescent="0.25">
      <c r="A44" s="10" t="s">
        <v>21</v>
      </c>
      <c r="B44" s="7">
        <f>F39</f>
        <v>2630</v>
      </c>
      <c r="C44" s="8"/>
      <c r="E44" s="6">
        <v>50</v>
      </c>
      <c r="F44" s="7">
        <v>8</v>
      </c>
      <c r="G44" s="8">
        <f t="shared" si="2"/>
        <v>400</v>
      </c>
    </row>
    <row r="45" spans="1:20" ht="51.75" customHeight="1" x14ac:dyDescent="0.25">
      <c r="A45" s="10" t="s">
        <v>22</v>
      </c>
      <c r="B45" s="12">
        <f>+B42-B43-B44</f>
        <v>1048</v>
      </c>
      <c r="C45" s="13"/>
      <c r="E45" s="6">
        <v>20</v>
      </c>
      <c r="F45" s="7">
        <v>2</v>
      </c>
      <c r="G45" s="8">
        <f t="shared" si="2"/>
        <v>40</v>
      </c>
    </row>
    <row r="46" spans="1:20" ht="46.5" customHeight="1" x14ac:dyDescent="0.25">
      <c r="A46" s="10" t="s">
        <v>23</v>
      </c>
      <c r="B46" s="12">
        <f>G49</f>
        <v>1048</v>
      </c>
      <c r="C46" s="13"/>
      <c r="D46" s="1"/>
      <c r="E46" s="6">
        <v>10</v>
      </c>
      <c r="F46" s="7">
        <v>8</v>
      </c>
      <c r="G46" s="8">
        <f t="shared" si="2"/>
        <v>80</v>
      </c>
    </row>
    <row r="47" spans="1:20" ht="34.5" customHeight="1" x14ac:dyDescent="0.25">
      <c r="A47" s="10" t="s">
        <v>24</v>
      </c>
      <c r="B47" s="12">
        <f>IF(B45&lt;B46,B46-B45,0)</f>
        <v>0</v>
      </c>
      <c r="C47" s="13"/>
      <c r="E47" s="6">
        <v>5</v>
      </c>
      <c r="F47" s="7">
        <v>4</v>
      </c>
      <c r="G47" s="8">
        <f t="shared" si="2"/>
        <v>20</v>
      </c>
    </row>
    <row r="48" spans="1:20" ht="36.75" customHeight="1" x14ac:dyDescent="0.25">
      <c r="A48" s="10" t="s">
        <v>7</v>
      </c>
      <c r="B48" s="12">
        <f>IF(B45&gt;B46,B45-B46,0)</f>
        <v>0</v>
      </c>
      <c r="C48" s="13"/>
      <c r="E48" s="6">
        <v>1</v>
      </c>
      <c r="F48" s="7">
        <v>8</v>
      </c>
      <c r="G48" s="8">
        <f t="shared" si="2"/>
        <v>8</v>
      </c>
    </row>
    <row r="49" spans="1:7" ht="30" customHeight="1" thickBot="1" x14ac:dyDescent="0.35">
      <c r="A49" s="11" t="s">
        <v>29</v>
      </c>
      <c r="B49" s="14" t="b">
        <f>B45=B46</f>
        <v>1</v>
      </c>
      <c r="C49" s="15"/>
      <c r="E49" s="137" t="s">
        <v>25</v>
      </c>
      <c r="F49" s="138"/>
      <c r="G49" s="9">
        <f>SUM(G42:G48)</f>
        <v>1048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" right="0" top="0" bottom="0" header="0.31496062992125984" footer="0.31496062992125984"/>
  <pageSetup paperSize="9" scale="4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38</vt:i4>
      </vt:variant>
      <vt:variant>
        <vt:lpstr>Named Ranges</vt:lpstr>
      </vt:variant>
      <vt:variant>
        <vt:i4>1</vt:i4>
      </vt:variant>
    </vt:vector>
  </HeadingPairs>
  <TitlesOfParts>
    <vt:vector size="39" baseType="lpstr">
      <vt:lpstr>سلف العاملين بالمحل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الاجمالى</vt:lpstr>
      <vt:lpstr>مبيعات اجلة </vt:lpstr>
      <vt:lpstr>مبيعات الطواجن </vt:lpstr>
      <vt:lpstr>مشتريات </vt:lpstr>
      <vt:lpstr>مودرين </vt:lpstr>
      <vt:lpstr>طماطم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2023-08-03T16:15:01Z</dcterms:modified>
</cp:coreProperties>
</file>